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c\DSA\CFs\Rohals Erben\"/>
    </mc:Choice>
  </mc:AlternateContent>
  <xr:revisionPtr revIDLastSave="0" documentId="13_ncr:1_{3882F766-BE83-48BF-83D2-7C03999EC926}" xr6:coauthVersionLast="47" xr6:coauthVersionMax="47" xr10:uidLastSave="{00000000-0000-0000-0000-000000000000}"/>
  <bookViews>
    <workbookView xWindow="-120" yWindow="-120" windowWidth="35685" windowHeight="21840" xr2:uid="{3C0DC3EB-12BA-4DE2-BE53-BC5B92B614A4}"/>
  </bookViews>
  <sheets>
    <sheet name="Rohals Erben" sheetId="1" r:id="rId1"/>
    <sheet name="Vergleich" sheetId="2" state="hidden" r:id="rId2"/>
  </sheets>
  <definedNames>
    <definedName name="_xlnm.Print_Area" localSheetId="0">'Rohals Erben'!$A$5:$P$211</definedName>
    <definedName name="_xlnm.Print_Titles" localSheetId="0">'Rohals Erben'!$5:$15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8" i="1" l="1"/>
  <c r="C6" i="1"/>
  <c r="C7" i="1"/>
  <c r="AB201" i="1"/>
  <c r="AB200" i="1"/>
  <c r="G14" i="1"/>
  <c r="H14" i="1"/>
  <c r="I14" i="1"/>
  <c r="J14" i="1"/>
  <c r="K14" i="1"/>
  <c r="L14" i="1"/>
  <c r="F14" i="1"/>
  <c r="AB199" i="1"/>
  <c r="AB198" i="1"/>
  <c r="AB197" i="1"/>
  <c r="F68" i="1"/>
  <c r="B72" i="1"/>
  <c r="B71" i="1"/>
  <c r="B70" i="1"/>
  <c r="B69" i="1"/>
  <c r="B68" i="1"/>
  <c r="E107" i="1"/>
  <c r="I107" i="1"/>
  <c r="F114" i="1"/>
  <c r="R114" i="1"/>
  <c r="AB196" i="1"/>
  <c r="AB195" i="1"/>
  <c r="S110" i="1"/>
  <c r="R110" i="1"/>
  <c r="AB194" i="1"/>
  <c r="AB193" i="1"/>
  <c r="AB191" i="1"/>
  <c r="AB192" i="1"/>
  <c r="AB190" i="1"/>
  <c r="O157" i="1"/>
  <c r="N157" i="1"/>
  <c r="M157" i="1"/>
  <c r="E157" i="1"/>
  <c r="O107" i="1"/>
  <c r="O158" i="1" s="1"/>
  <c r="M107" i="1"/>
  <c r="L107" i="1"/>
  <c r="K107" i="1"/>
  <c r="J107" i="1"/>
  <c r="H107" i="1"/>
  <c r="G107" i="1"/>
  <c r="AB189" i="1"/>
  <c r="M158" i="1" l="1"/>
  <c r="E158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182" i="1"/>
  <c r="M181" i="1"/>
  <c r="AB188" i="1"/>
  <c r="AB187" i="1"/>
  <c r="AB186" i="1"/>
  <c r="AB185" i="1"/>
  <c r="F128" i="1"/>
  <c r="G128" i="1"/>
  <c r="H128" i="1"/>
  <c r="I128" i="1"/>
  <c r="J128" i="1"/>
  <c r="K128" i="1"/>
  <c r="L128" i="1"/>
  <c r="F133" i="1"/>
  <c r="L127" i="1"/>
  <c r="K127" i="1"/>
  <c r="J127" i="1"/>
  <c r="I127" i="1"/>
  <c r="H127" i="1"/>
  <c r="G127" i="1"/>
  <c r="F127" i="1"/>
  <c r="L126" i="1"/>
  <c r="K126" i="1"/>
  <c r="J126" i="1"/>
  <c r="I126" i="1"/>
  <c r="H126" i="1"/>
  <c r="G126" i="1"/>
  <c r="F126" i="1"/>
  <c r="L125" i="1"/>
  <c r="K125" i="1"/>
  <c r="J125" i="1"/>
  <c r="I125" i="1"/>
  <c r="H125" i="1"/>
  <c r="G125" i="1"/>
  <c r="F125" i="1"/>
  <c r="L124" i="1"/>
  <c r="K124" i="1"/>
  <c r="J124" i="1"/>
  <c r="I124" i="1"/>
  <c r="H124" i="1"/>
  <c r="G124" i="1"/>
  <c r="F124" i="1"/>
  <c r="K123" i="1"/>
  <c r="J123" i="1"/>
  <c r="H123" i="1"/>
  <c r="G123" i="1"/>
  <c r="F123" i="1"/>
  <c r="K122" i="1"/>
  <c r="J122" i="1"/>
  <c r="H122" i="1"/>
  <c r="G122" i="1"/>
  <c r="F122" i="1"/>
  <c r="K121" i="1"/>
  <c r="J121" i="1"/>
  <c r="H121" i="1"/>
  <c r="G121" i="1"/>
  <c r="F121" i="1"/>
  <c r="K120" i="1"/>
  <c r="J120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3" i="1"/>
  <c r="G113" i="1"/>
  <c r="F113" i="1"/>
  <c r="G112" i="1"/>
  <c r="F112" i="1"/>
  <c r="F111" i="1"/>
  <c r="N73" i="1"/>
  <c r="AR184" i="1"/>
  <c r="AQ184" i="1"/>
  <c r="AR183" i="1"/>
  <c r="AQ183" i="1"/>
  <c r="AR182" i="1"/>
  <c r="AQ182" i="1"/>
  <c r="AT181" i="1"/>
  <c r="AS181" i="1"/>
  <c r="AR181" i="1"/>
  <c r="AQ181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223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O219" i="1"/>
  <c r="BO220" i="1"/>
  <c r="BO221" i="1"/>
  <c r="BO222" i="1"/>
  <c r="BO223" i="1"/>
  <c r="BQ206" i="1"/>
  <c r="BR206" i="1" s="1"/>
  <c r="BO206" i="1"/>
  <c r="H157" i="1" l="1"/>
  <c r="H158" i="1" s="1"/>
  <c r="K157" i="1"/>
  <c r="K158" i="1" s="1"/>
  <c r="G160" i="1"/>
  <c r="G157" i="1"/>
  <c r="G158" i="1" s="1"/>
  <c r="L157" i="1"/>
  <c r="L158" i="1" s="1"/>
  <c r="F157" i="1"/>
  <c r="J157" i="1"/>
  <c r="J158" i="1" s="1"/>
  <c r="I157" i="1"/>
  <c r="I158" i="1" s="1"/>
  <c r="F107" i="1"/>
  <c r="K160" i="1"/>
  <c r="L160" i="1"/>
  <c r="H160" i="1"/>
  <c r="F160" i="1"/>
  <c r="J160" i="1"/>
  <c r="I160" i="1"/>
  <c r="BR207" i="1"/>
  <c r="BR208" i="1" s="1"/>
  <c r="BP206" i="1"/>
  <c r="BP207" i="1" s="1"/>
  <c r="BP208" i="1" s="1"/>
  <c r="F158" i="1" l="1"/>
  <c r="AG181" i="1"/>
  <c r="AC4" i="2" l="1"/>
  <c r="AD4" i="2"/>
  <c r="AC5" i="2"/>
  <c r="AD5" i="2"/>
  <c r="AC6" i="2"/>
  <c r="AD6" i="2"/>
  <c r="BB39" i="2"/>
  <c r="BA39" i="2"/>
  <c r="BB38" i="2"/>
  <c r="BA38" i="2"/>
  <c r="BB34" i="2"/>
  <c r="BA34" i="2"/>
  <c r="BB33" i="2"/>
  <c r="BA33" i="2"/>
  <c r="BB29" i="2"/>
  <c r="BA29" i="2"/>
  <c r="BB28" i="2"/>
  <c r="BA28" i="2"/>
  <c r="BB24" i="2"/>
  <c r="BA24" i="2"/>
  <c r="BB23" i="2"/>
  <c r="BA23" i="2"/>
  <c r="BB19" i="2"/>
  <c r="BA19" i="2"/>
  <c r="BB18" i="2"/>
  <c r="BA18" i="2"/>
  <c r="BB14" i="2"/>
  <c r="BA14" i="2"/>
  <c r="BB13" i="2"/>
  <c r="BA13" i="2"/>
  <c r="BB9" i="2"/>
  <c r="BA9" i="2"/>
  <c r="BB8" i="2"/>
  <c r="BA8" i="2"/>
  <c r="AY40" i="2"/>
  <c r="AY39" i="2"/>
  <c r="AX39" i="2"/>
  <c r="AY34" i="2"/>
  <c r="AX34" i="2"/>
  <c r="AY35" i="2" s="1"/>
  <c r="AY29" i="2"/>
  <c r="AX29" i="2"/>
  <c r="AY30" i="2" s="1"/>
  <c r="AY24" i="2"/>
  <c r="AX24" i="2"/>
  <c r="AY25" i="2" s="1"/>
  <c r="AY20" i="2"/>
  <c r="AY19" i="2"/>
  <c r="AX19" i="2"/>
  <c r="AY14" i="2"/>
  <c r="AX14" i="2"/>
  <c r="AY15" i="2" s="1"/>
  <c r="AY9" i="2"/>
  <c r="AX9" i="2"/>
  <c r="AY10" i="2" s="1"/>
  <c r="U181" i="1"/>
  <c r="BA202" i="1"/>
  <c r="BE202" i="1" s="1"/>
  <c r="BA201" i="1"/>
  <c r="BE201" i="1" s="1"/>
  <c r="BA200" i="1"/>
  <c r="BE200" i="1" s="1"/>
  <c r="BA199" i="1"/>
  <c r="BE199" i="1" s="1"/>
  <c r="BA198" i="1"/>
  <c r="BE198" i="1" s="1"/>
  <c r="BA197" i="1"/>
  <c r="BE197" i="1" s="1"/>
  <c r="BA196" i="1"/>
  <c r="BE196" i="1" s="1"/>
  <c r="BA195" i="1"/>
  <c r="BE195" i="1" s="1"/>
  <c r="BA194" i="1"/>
  <c r="BE194" i="1" s="1"/>
  <c r="BA193" i="1"/>
  <c r="BE193" i="1" s="1"/>
  <c r="BA192" i="1"/>
  <c r="BE192" i="1" s="1"/>
  <c r="BA191" i="1"/>
  <c r="BE191" i="1" s="1"/>
  <c r="BA190" i="1"/>
  <c r="BE190" i="1" s="1"/>
  <c r="BA189" i="1"/>
  <c r="BE189" i="1" s="1"/>
  <c r="BA188" i="1"/>
  <c r="BE188" i="1" s="1"/>
  <c r="BA187" i="1"/>
  <c r="BE187" i="1" s="1"/>
  <c r="BA186" i="1"/>
  <c r="BE186" i="1" s="1"/>
  <c r="BA185" i="1"/>
  <c r="BE185" i="1" s="1"/>
  <c r="BA184" i="1"/>
  <c r="BE184" i="1" s="1"/>
  <c r="BA183" i="1"/>
  <c r="BE183" i="1" s="1"/>
  <c r="BA182" i="1"/>
  <c r="BE182" i="1" s="1"/>
  <c r="BD202" i="1"/>
  <c r="BD201" i="1"/>
  <c r="BD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D187" i="1"/>
  <c r="BD186" i="1"/>
  <c r="BD185" i="1"/>
  <c r="BD184" i="1"/>
  <c r="BD183" i="1"/>
  <c r="BD182" i="1"/>
  <c r="BB184" i="1"/>
  <c r="BC184" i="1" s="1"/>
  <c r="BB185" i="1"/>
  <c r="BC185" i="1" s="1"/>
  <c r="BB186" i="1"/>
  <c r="BC186" i="1" s="1"/>
  <c r="BB187" i="1"/>
  <c r="BC187" i="1" s="1"/>
  <c r="BB188" i="1"/>
  <c r="BC188" i="1" s="1"/>
  <c r="BB189" i="1"/>
  <c r="BC189" i="1" s="1"/>
  <c r="BB190" i="1"/>
  <c r="BC190" i="1" s="1"/>
  <c r="BB191" i="1"/>
  <c r="BC191" i="1" s="1"/>
  <c r="BB192" i="1"/>
  <c r="BC192" i="1" s="1"/>
  <c r="BB193" i="1"/>
  <c r="BC193" i="1" s="1"/>
  <c r="BB194" i="1"/>
  <c r="BC194" i="1" s="1"/>
  <c r="BB195" i="1"/>
  <c r="BC195" i="1" s="1"/>
  <c r="BB196" i="1"/>
  <c r="BC196" i="1" s="1"/>
  <c r="BB197" i="1"/>
  <c r="BC197" i="1" s="1"/>
  <c r="BB198" i="1"/>
  <c r="BC198" i="1" s="1"/>
  <c r="BB199" i="1"/>
  <c r="BC199" i="1" s="1"/>
  <c r="BB200" i="1"/>
  <c r="BC200" i="1" s="1"/>
  <c r="BB201" i="1"/>
  <c r="BC201" i="1" s="1"/>
  <c r="BB202" i="1"/>
  <c r="BC202" i="1" s="1"/>
  <c r="BB183" i="1"/>
  <c r="BC183" i="1" s="1"/>
  <c r="BB182" i="1"/>
  <c r="BC182" i="1" s="1"/>
  <c r="S111" i="1"/>
  <c r="R123" i="1"/>
  <c r="R122" i="1"/>
  <c r="R113" i="1"/>
  <c r="R115" i="1"/>
  <c r="R116" i="1"/>
  <c r="R117" i="1"/>
  <c r="R118" i="1"/>
  <c r="R119" i="1"/>
  <c r="R120" i="1"/>
  <c r="R121" i="1"/>
  <c r="R112" i="1"/>
  <c r="R111" i="1"/>
  <c r="R152" i="1"/>
  <c r="R151" i="1"/>
  <c r="R150" i="1"/>
  <c r="R149" i="1"/>
  <c r="R147" i="1"/>
  <c r="R146" i="1"/>
  <c r="R134" i="1"/>
  <c r="R133" i="1"/>
  <c r="L2" i="1"/>
  <c r="D17" i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N67" i="1"/>
  <c r="R101" i="1"/>
  <c r="H184" i="1"/>
  <c r="H183" i="1"/>
  <c r="H182" i="1"/>
  <c r="H181" i="1"/>
  <c r="G109" i="1"/>
  <c r="R80" i="1"/>
  <c r="BX202" i="1"/>
  <c r="O160" i="1"/>
  <c r="R85" i="1"/>
  <c r="R83" i="1"/>
  <c r="R98" i="1"/>
  <c r="R77" i="1"/>
  <c r="R102" i="1"/>
  <c r="R79" i="1"/>
  <c r="R97" i="1"/>
  <c r="R82" i="1"/>
  <c r="R78" i="1"/>
  <c r="E160" i="1" l="1"/>
  <c r="E165" i="1" s="1"/>
  <c r="N107" i="1"/>
  <c r="N158" i="1" s="1"/>
  <c r="BC221" i="1"/>
  <c r="BE208" i="1"/>
  <c r="BE212" i="1"/>
  <c r="BE221" i="1"/>
  <c r="BE220" i="1"/>
  <c r="BE209" i="1"/>
  <c r="BE217" i="1"/>
  <c r="BE210" i="1"/>
  <c r="BE214" i="1"/>
  <c r="BE218" i="1"/>
  <c r="BE222" i="1"/>
  <c r="BE216" i="1"/>
  <c r="BE213" i="1"/>
  <c r="BE206" i="1"/>
  <c r="BF206" i="1" s="1"/>
  <c r="BC217" i="1"/>
  <c r="BC213" i="1"/>
  <c r="BC209" i="1"/>
  <c r="BE223" i="1"/>
  <c r="BE219" i="1"/>
  <c r="BE215" i="1"/>
  <c r="BE211" i="1"/>
  <c r="BE207" i="1"/>
  <c r="BC220" i="1"/>
  <c r="BC216" i="1"/>
  <c r="BC212" i="1"/>
  <c r="BC208" i="1"/>
  <c r="BC223" i="1"/>
  <c r="BC219" i="1"/>
  <c r="BC215" i="1"/>
  <c r="BC211" i="1"/>
  <c r="BC207" i="1"/>
  <c r="BC222" i="1"/>
  <c r="BC218" i="1"/>
  <c r="BC214" i="1"/>
  <c r="BC210" i="1"/>
  <c r="BC206" i="1"/>
  <c r="BD206" i="1" s="1"/>
  <c r="R132" i="1"/>
  <c r="R100" i="1"/>
  <c r="R99" i="1"/>
  <c r="AW39" i="2"/>
  <c r="AV39" i="2"/>
  <c r="AW40" i="2" s="1"/>
  <c r="AU39" i="2"/>
  <c r="AT39" i="2"/>
  <c r="AS39" i="2"/>
  <c r="AR39" i="2"/>
  <c r="AS40" i="2" s="1"/>
  <c r="AO39" i="2"/>
  <c r="AN39" i="2"/>
  <c r="BV210" i="1"/>
  <c r="BV211" i="1"/>
  <c r="BV212" i="1"/>
  <c r="BV213" i="1"/>
  <c r="BV214" i="1"/>
  <c r="BV215" i="1"/>
  <c r="BV216" i="1"/>
  <c r="BV217" i="1"/>
  <c r="BV218" i="1"/>
  <c r="BV219" i="1"/>
  <c r="BV220" i="1"/>
  <c r="BV221" i="1"/>
  <c r="BV222" i="1"/>
  <c r="BV223" i="1"/>
  <c r="BV209" i="1"/>
  <c r="BT210" i="1"/>
  <c r="BT211" i="1"/>
  <c r="BT212" i="1"/>
  <c r="BT213" i="1"/>
  <c r="BT214" i="1"/>
  <c r="BT215" i="1"/>
  <c r="BT216" i="1"/>
  <c r="BT217" i="1"/>
  <c r="BT218" i="1"/>
  <c r="BT219" i="1"/>
  <c r="BT220" i="1"/>
  <c r="BT221" i="1"/>
  <c r="BT222" i="1"/>
  <c r="BT223" i="1"/>
  <c r="BT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2" i="1"/>
  <c r="BM223" i="1"/>
  <c r="BM209" i="1"/>
  <c r="BK210" i="1"/>
  <c r="BK211" i="1"/>
  <c r="BK212" i="1"/>
  <c r="BK213" i="1"/>
  <c r="BK214" i="1"/>
  <c r="BK215" i="1"/>
  <c r="BK216" i="1"/>
  <c r="BK217" i="1"/>
  <c r="BK218" i="1"/>
  <c r="BK219" i="1"/>
  <c r="BK220" i="1"/>
  <c r="BK221" i="1"/>
  <c r="BK222" i="1"/>
  <c r="BK223" i="1"/>
  <c r="BK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2" i="1"/>
  <c r="BI223" i="1"/>
  <c r="BI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09" i="1"/>
  <c r="E164" i="1" l="1"/>
  <c r="E167" i="1"/>
  <c r="E163" i="1"/>
  <c r="E162" i="1"/>
  <c r="G161" i="1"/>
  <c r="BC224" i="1"/>
  <c r="BE224" i="1"/>
  <c r="BF207" i="1"/>
  <c r="BF208" i="1" s="1"/>
  <c r="BF209" i="1" s="1"/>
  <c r="BF210" i="1" s="1"/>
  <c r="BF211" i="1" s="1"/>
  <c r="BF212" i="1" s="1"/>
  <c r="BF213" i="1" s="1"/>
  <c r="BF214" i="1" s="1"/>
  <c r="BF215" i="1" s="1"/>
  <c r="BF216" i="1" s="1"/>
  <c r="BF217" i="1" s="1"/>
  <c r="BF218" i="1" s="1"/>
  <c r="BF219" i="1" s="1"/>
  <c r="BF220" i="1" s="1"/>
  <c r="BF221" i="1" s="1"/>
  <c r="BF222" i="1" s="1"/>
  <c r="BF223" i="1" s="1"/>
  <c r="BD207" i="1"/>
  <c r="BD208" i="1" s="1"/>
  <c r="BD209" i="1" s="1"/>
  <c r="BD210" i="1" s="1"/>
  <c r="BD211" i="1" s="1"/>
  <c r="BD212" i="1" s="1"/>
  <c r="BD213" i="1" s="1"/>
  <c r="BD214" i="1" s="1"/>
  <c r="BD215" i="1" s="1"/>
  <c r="BD216" i="1" s="1"/>
  <c r="BD217" i="1" s="1"/>
  <c r="BD218" i="1" s="1"/>
  <c r="BD219" i="1" s="1"/>
  <c r="BD220" i="1" s="1"/>
  <c r="BD221" i="1" s="1"/>
  <c r="BD222" i="1" s="1"/>
  <c r="BD223" i="1" s="1"/>
  <c r="AU40" i="2"/>
  <c r="K164" i="1"/>
  <c r="K163" i="1"/>
  <c r="K167" i="1"/>
  <c r="K162" i="1"/>
  <c r="K165" i="1"/>
  <c r="K161" i="1"/>
  <c r="L166" i="1"/>
  <c r="L162" i="1"/>
  <c r="L165" i="1"/>
  <c r="L161" i="1"/>
  <c r="L164" i="1"/>
  <c r="L163" i="1"/>
  <c r="E166" i="1"/>
  <c r="H167" i="1"/>
  <c r="H162" i="1"/>
  <c r="H166" i="1"/>
  <c r="H161" i="1"/>
  <c r="H165" i="1"/>
  <c r="H164" i="1"/>
  <c r="G163" i="1"/>
  <c r="I165" i="1"/>
  <c r="I163" i="1"/>
  <c r="I167" i="1"/>
  <c r="I162" i="1"/>
  <c r="I166" i="1"/>
  <c r="I161" i="1"/>
  <c r="F166" i="1"/>
  <c r="F162" i="1"/>
  <c r="F165" i="1"/>
  <c r="F167" i="1"/>
  <c r="F164" i="1"/>
  <c r="E161" i="1"/>
  <c r="J167" i="1"/>
  <c r="J162" i="1"/>
  <c r="J166" i="1"/>
  <c r="J161" i="1"/>
  <c r="J164" i="1"/>
  <c r="J163" i="1"/>
  <c r="G166" i="1"/>
  <c r="G165" i="1"/>
  <c r="G164" i="1"/>
  <c r="G167" i="1"/>
  <c r="F163" i="1"/>
  <c r="BK224" i="1"/>
  <c r="BT224" i="1"/>
  <c r="BI224" i="1"/>
  <c r="BM224" i="1"/>
  <c r="BQ224" i="1"/>
  <c r="BV224" i="1"/>
  <c r="BG224" i="1"/>
  <c r="BO224" i="1"/>
  <c r="AO40" i="2"/>
  <c r="AW34" i="2" l="1"/>
  <c r="AV34" i="2"/>
  <c r="AU34" i="2"/>
  <c r="AT34" i="2"/>
  <c r="AU35" i="2" s="1"/>
  <c r="AS34" i="2"/>
  <c r="AR34" i="2"/>
  <c r="AO34" i="2"/>
  <c r="AN34" i="2"/>
  <c r="AW29" i="2"/>
  <c r="AV29" i="2"/>
  <c r="AU29" i="2"/>
  <c r="AT29" i="2"/>
  <c r="AU30" i="2" s="1"/>
  <c r="AS29" i="2"/>
  <c r="AR29" i="2"/>
  <c r="AO29" i="2"/>
  <c r="AN29" i="2"/>
  <c r="AO30" i="2" s="1"/>
  <c r="AW24" i="2"/>
  <c r="AV24" i="2"/>
  <c r="AW25" i="2" s="1"/>
  <c r="AU24" i="2"/>
  <c r="AT24" i="2"/>
  <c r="AS24" i="2"/>
  <c r="AR24" i="2"/>
  <c r="AO24" i="2"/>
  <c r="AO25" i="2" s="1"/>
  <c r="AN24" i="2"/>
  <c r="AB184" i="1"/>
  <c r="AB183" i="1"/>
  <c r="AG183" i="1"/>
  <c r="AH183" i="1" s="1"/>
  <c r="AG184" i="1"/>
  <c r="J109" i="1"/>
  <c r="AI181" i="1"/>
  <c r="AM181" i="1" s="1"/>
  <c r="AG182" i="1"/>
  <c r="AG204" i="1" s="1"/>
  <c r="AK181" i="1"/>
  <c r="AW19" i="2"/>
  <c r="AV19" i="2"/>
  <c r="AW14" i="2"/>
  <c r="AV14" i="2"/>
  <c r="AW9" i="2"/>
  <c r="AV9" i="2"/>
  <c r="AW10" i="2" s="1"/>
  <c r="H18" i="1" l="1"/>
  <c r="AS183" i="1"/>
  <c r="H19" i="1"/>
  <c r="AS184" i="1"/>
  <c r="AH184" i="1"/>
  <c r="AW35" i="2"/>
  <c r="AS30" i="2"/>
  <c r="AW30" i="2"/>
  <c r="AW15" i="2"/>
  <c r="AS35" i="2"/>
  <c r="AU25" i="2"/>
  <c r="AK183" i="1"/>
  <c r="AL183" i="1" s="1"/>
  <c r="AO35" i="2"/>
  <c r="AS25" i="2"/>
  <c r="AK184" i="1"/>
  <c r="AK182" i="1"/>
  <c r="AW20" i="2"/>
  <c r="AL184" i="1" l="1"/>
  <c r="AB182" i="1"/>
  <c r="AS182" i="1" s="1"/>
  <c r="H17" i="1" l="1"/>
  <c r="AI182" i="1"/>
  <c r="AC182" i="1"/>
  <c r="AU19" i="2"/>
  <c r="AT19" i="2"/>
  <c r="AS19" i="2"/>
  <c r="AR19" i="2"/>
  <c r="AO19" i="2"/>
  <c r="AN19" i="2"/>
  <c r="J181" i="1"/>
  <c r="K109" i="1"/>
  <c r="G17" i="1" l="1"/>
  <c r="I17" i="1" s="1"/>
  <c r="AT182" i="1"/>
  <c r="BF182" i="1"/>
  <c r="AM182" i="1"/>
  <c r="AN182" i="1" s="1"/>
  <c r="AI183" i="1"/>
  <c r="AU20" i="2"/>
  <c r="AS20" i="2"/>
  <c r="AO20" i="2"/>
  <c r="G181" i="1"/>
  <c r="AJ182" i="1"/>
  <c r="AU14" i="2"/>
  <c r="AT14" i="2"/>
  <c r="AS14" i="2"/>
  <c r="AR14" i="2"/>
  <c r="AO14" i="2"/>
  <c r="AN14" i="2"/>
  <c r="AO9" i="2"/>
  <c r="AN9" i="2"/>
  <c r="AU9" i="2"/>
  <c r="AT9" i="2"/>
  <c r="AD32" i="2" l="1"/>
  <c r="AI206" i="1"/>
  <c r="BF183" i="1"/>
  <c r="BF184" i="1" s="1"/>
  <c r="BF185" i="1" s="1"/>
  <c r="BF186" i="1" s="1"/>
  <c r="BF187" i="1" s="1"/>
  <c r="BF188" i="1" s="1"/>
  <c r="BF189" i="1" s="1"/>
  <c r="BF190" i="1" s="1"/>
  <c r="AI184" i="1"/>
  <c r="AM183" i="1"/>
  <c r="AG206" i="1"/>
  <c r="AC32" i="2"/>
  <c r="AK206" i="1"/>
  <c r="AC33" i="2"/>
  <c r="AD33" i="2"/>
  <c r="AC30" i="2"/>
  <c r="AC29" i="2"/>
  <c r="AD30" i="2"/>
  <c r="AO10" i="2"/>
  <c r="BW209" i="1"/>
  <c r="BW210" i="1" s="1"/>
  <c r="BW211" i="1" s="1"/>
  <c r="BW212" i="1" s="1"/>
  <c r="BW213" i="1" s="1"/>
  <c r="BW214" i="1" s="1"/>
  <c r="BW215" i="1" s="1"/>
  <c r="BW216" i="1" s="1"/>
  <c r="BW217" i="1" s="1"/>
  <c r="BW218" i="1" s="1"/>
  <c r="BW219" i="1" s="1"/>
  <c r="BW220" i="1" s="1"/>
  <c r="BW221" i="1" s="1"/>
  <c r="BW222" i="1" s="1"/>
  <c r="BW223" i="1" s="1"/>
  <c r="J184" i="1"/>
  <c r="BL209" i="1"/>
  <c r="BL210" i="1" s="1"/>
  <c r="BL211" i="1" s="1"/>
  <c r="BL212" i="1" s="1"/>
  <c r="BL213" i="1" s="1"/>
  <c r="BL214" i="1" s="1"/>
  <c r="BL215" i="1" s="1"/>
  <c r="BL216" i="1" s="1"/>
  <c r="BL217" i="1" s="1"/>
  <c r="BL218" i="1" s="1"/>
  <c r="BL219" i="1" s="1"/>
  <c r="BL220" i="1" s="1"/>
  <c r="BL221" i="1" s="1"/>
  <c r="BL222" i="1" s="1"/>
  <c r="BL223" i="1" s="1"/>
  <c r="BU209" i="1"/>
  <c r="BU210" i="1" s="1"/>
  <c r="BU211" i="1" s="1"/>
  <c r="BU212" i="1" s="1"/>
  <c r="BU213" i="1" s="1"/>
  <c r="BU214" i="1" s="1"/>
  <c r="BU215" i="1" s="1"/>
  <c r="BU216" i="1" s="1"/>
  <c r="BU217" i="1" s="1"/>
  <c r="BU218" i="1" s="1"/>
  <c r="BU219" i="1" s="1"/>
  <c r="BU220" i="1" s="1"/>
  <c r="BU221" i="1" s="1"/>
  <c r="BU222" i="1" s="1"/>
  <c r="BU223" i="1" s="1"/>
  <c r="BR209" i="1"/>
  <c r="BR210" i="1" s="1"/>
  <c r="BR211" i="1" s="1"/>
  <c r="BR212" i="1" s="1"/>
  <c r="BR213" i="1" s="1"/>
  <c r="BR214" i="1" s="1"/>
  <c r="BR215" i="1" s="1"/>
  <c r="BR216" i="1" s="1"/>
  <c r="BR217" i="1" s="1"/>
  <c r="BR218" i="1" s="1"/>
  <c r="BR219" i="1" s="1"/>
  <c r="BR220" i="1" s="1"/>
  <c r="BR221" i="1" s="1"/>
  <c r="BR222" i="1" s="1"/>
  <c r="BR223" i="1" s="1"/>
  <c r="BP209" i="1"/>
  <c r="BP210" i="1" s="1"/>
  <c r="BP211" i="1" s="1"/>
  <c r="BP212" i="1" s="1"/>
  <c r="BP213" i="1" s="1"/>
  <c r="BP214" i="1" s="1"/>
  <c r="BP215" i="1" s="1"/>
  <c r="BP216" i="1" s="1"/>
  <c r="BP217" i="1" s="1"/>
  <c r="BP218" i="1" s="1"/>
  <c r="BP219" i="1" s="1"/>
  <c r="BP220" i="1" s="1"/>
  <c r="BP221" i="1" s="1"/>
  <c r="BP222" i="1" s="1"/>
  <c r="BP223" i="1" s="1"/>
  <c r="BN209" i="1"/>
  <c r="BN210" i="1" s="1"/>
  <c r="BN211" i="1" s="1"/>
  <c r="BN212" i="1" s="1"/>
  <c r="BN213" i="1" s="1"/>
  <c r="BN214" i="1" s="1"/>
  <c r="BN215" i="1" s="1"/>
  <c r="BN216" i="1" s="1"/>
  <c r="BN217" i="1" s="1"/>
  <c r="BN218" i="1" s="1"/>
  <c r="BN219" i="1" s="1"/>
  <c r="BN220" i="1" s="1"/>
  <c r="BN221" i="1" s="1"/>
  <c r="BN222" i="1" s="1"/>
  <c r="BN223" i="1" s="1"/>
  <c r="AG30" i="2" l="1"/>
  <c r="AG32" i="2"/>
  <c r="AF34" i="2"/>
  <c r="BF191" i="1"/>
  <c r="BF192" i="1" s="1"/>
  <c r="BF193" i="1" s="1"/>
  <c r="BF194" i="1" s="1"/>
  <c r="BF195" i="1" s="1"/>
  <c r="BF196" i="1" s="1"/>
  <c r="BF197" i="1" s="1"/>
  <c r="BF198" i="1" s="1"/>
  <c r="BF199" i="1" s="1"/>
  <c r="BF200" i="1" s="1"/>
  <c r="BF201" i="1" s="1"/>
  <c r="BF202" i="1" s="1"/>
  <c r="AD29" i="2"/>
  <c r="AF31" i="2" s="1"/>
  <c r="AI205" i="1"/>
  <c r="AG33" i="2"/>
  <c r="AM184" i="1"/>
  <c r="AE34" i="2"/>
  <c r="AE31" i="2"/>
  <c r="BS182" i="1"/>
  <c r="BS183" i="1"/>
  <c r="BS184" i="1"/>
  <c r="BS185" i="1"/>
  <c r="BS186" i="1"/>
  <c r="BS187" i="1"/>
  <c r="BS188" i="1"/>
  <c r="BS189" i="1"/>
  <c r="BS190" i="1"/>
  <c r="BS191" i="1"/>
  <c r="BS192" i="1"/>
  <c r="BS193" i="1"/>
  <c r="BS194" i="1"/>
  <c r="BS195" i="1"/>
  <c r="BS196" i="1"/>
  <c r="BS197" i="1"/>
  <c r="BS198" i="1"/>
  <c r="BS199" i="1"/>
  <c r="BS200" i="1"/>
  <c r="BS201" i="1"/>
  <c r="BS202" i="1"/>
  <c r="BS180" i="1"/>
  <c r="G182" i="1"/>
  <c r="L24" i="2"/>
  <c r="K24" i="2"/>
  <c r="N24" i="2"/>
  <c r="M24" i="2"/>
  <c r="AH34" i="2" l="1"/>
  <c r="AH31" i="2"/>
  <c r="O21" i="2"/>
  <c r="O17" i="2"/>
  <c r="O13" i="2"/>
  <c r="O9" i="2"/>
  <c r="O5" i="2"/>
  <c r="O18" i="2"/>
  <c r="O14" i="2"/>
  <c r="O6" i="2"/>
  <c r="O24" i="2"/>
  <c r="O20" i="2"/>
  <c r="O16" i="2"/>
  <c r="O12" i="2"/>
  <c r="O8" i="2"/>
  <c r="O4" i="2"/>
  <c r="O22" i="2"/>
  <c r="O10" i="2"/>
  <c r="O23" i="2"/>
  <c r="O19" i="2"/>
  <c r="O15" i="2"/>
  <c r="O11" i="2"/>
  <c r="O7" i="2"/>
  <c r="P8" i="2"/>
  <c r="P5" i="2"/>
  <c r="P9" i="2"/>
  <c r="P13" i="2"/>
  <c r="P17" i="2"/>
  <c r="P21" i="2"/>
  <c r="P4" i="2"/>
  <c r="P16" i="2"/>
  <c r="P24" i="2"/>
  <c r="P6" i="2"/>
  <c r="P10" i="2"/>
  <c r="P14" i="2"/>
  <c r="P18" i="2"/>
  <c r="P22" i="2"/>
  <c r="P12" i="2"/>
  <c r="P20" i="2"/>
  <c r="P7" i="2"/>
  <c r="P11" i="2"/>
  <c r="P15" i="2"/>
  <c r="P19" i="2"/>
  <c r="P23" i="2"/>
  <c r="AG29" i="2"/>
  <c r="B6" i="1" l="1"/>
  <c r="B5" i="1"/>
  <c r="R76" i="1" l="1"/>
  <c r="R81" i="1"/>
  <c r="BQ175" i="1"/>
  <c r="BR181" i="1"/>
  <c r="BU180" i="1"/>
  <c r="BU181" i="1" s="1"/>
  <c r="BU182" i="1" s="1"/>
  <c r="BU183" i="1" s="1"/>
  <c r="BU184" i="1" s="1"/>
  <c r="BU185" i="1" s="1"/>
  <c r="BU186" i="1" s="1"/>
  <c r="BU187" i="1" s="1"/>
  <c r="BU188" i="1" s="1"/>
  <c r="BU189" i="1" s="1"/>
  <c r="BU190" i="1" s="1"/>
  <c r="BU191" i="1" s="1"/>
  <c r="BU192" i="1" s="1"/>
  <c r="BU193" i="1" s="1"/>
  <c r="BU194" i="1" s="1"/>
  <c r="BU195" i="1" s="1"/>
  <c r="BU196" i="1" s="1"/>
  <c r="BU197" i="1" s="1"/>
  <c r="BU198" i="1" s="1"/>
  <c r="BU199" i="1" s="1"/>
  <c r="BU200" i="1" s="1"/>
  <c r="BU201" i="1" s="1"/>
  <c r="BU202" i="1" s="1"/>
  <c r="AS9" i="2"/>
  <c r="AR9" i="2"/>
  <c r="AQ9" i="2"/>
  <c r="AP9" i="2"/>
  <c r="AL24" i="2"/>
  <c r="AK24" i="2"/>
  <c r="AI24" i="2"/>
  <c r="AH24" i="2"/>
  <c r="AG24" i="2"/>
  <c r="AF24" i="2"/>
  <c r="AE24" i="2"/>
  <c r="J24" i="2"/>
  <c r="I24" i="2"/>
  <c r="H24" i="2"/>
  <c r="H18" i="2" s="1"/>
  <c r="G24" i="2"/>
  <c r="G18" i="2" s="1"/>
  <c r="F24" i="2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E24" i="2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AJ23" i="2"/>
  <c r="AF23" i="2"/>
  <c r="AE23" i="2"/>
  <c r="AJ22" i="2"/>
  <c r="AF22" i="2"/>
  <c r="AE22" i="2"/>
  <c r="AJ21" i="2"/>
  <c r="AF21" i="2"/>
  <c r="AE21" i="2"/>
  <c r="AJ20" i="2"/>
  <c r="AF20" i="2"/>
  <c r="AE20" i="2"/>
  <c r="AJ19" i="2"/>
  <c r="AF19" i="2"/>
  <c r="AE19" i="2"/>
  <c r="AI19" i="2"/>
  <c r="H19" i="2"/>
  <c r="G19" i="2"/>
  <c r="AJ18" i="2"/>
  <c r="AI18" i="2"/>
  <c r="AF18" i="2"/>
  <c r="AE18" i="2"/>
  <c r="AI17" i="2"/>
  <c r="AF17" i="2"/>
  <c r="AE17" i="2"/>
  <c r="AJ16" i="2"/>
  <c r="AI16" i="2"/>
  <c r="AF16" i="2"/>
  <c r="AE16" i="2"/>
  <c r="AI15" i="2"/>
  <c r="AF15" i="2"/>
  <c r="AE15" i="2"/>
  <c r="R15" i="2"/>
  <c r="R16" i="2" s="1"/>
  <c r="R17" i="2" s="1"/>
  <c r="R18" i="2" s="1"/>
  <c r="R19" i="2" s="1"/>
  <c r="R20" i="2" s="1"/>
  <c r="R21" i="2" s="1"/>
  <c r="R22" i="2" s="1"/>
  <c r="R23" i="2" s="1"/>
  <c r="Q15" i="2"/>
  <c r="Q16" i="2" s="1"/>
  <c r="Q17" i="2" s="1"/>
  <c r="Q18" i="2" s="1"/>
  <c r="Q19" i="2" s="1"/>
  <c r="Q20" i="2" s="1"/>
  <c r="Q21" i="2" s="1"/>
  <c r="Q22" i="2" s="1"/>
  <c r="Q23" i="2" s="1"/>
  <c r="AJ14" i="2"/>
  <c r="AI14" i="2"/>
  <c r="AH14" i="2"/>
  <c r="AG14" i="2"/>
  <c r="AF14" i="2"/>
  <c r="AE14" i="2"/>
  <c r="AI13" i="2"/>
  <c r="AF13" i="2"/>
  <c r="AE13" i="2"/>
  <c r="AJ12" i="2"/>
  <c r="AI12" i="2"/>
  <c r="AF12" i="2"/>
  <c r="AE12" i="2"/>
  <c r="AI11" i="2"/>
  <c r="AF11" i="2"/>
  <c r="AE11" i="2"/>
  <c r="AJ10" i="2"/>
  <c r="AI10" i="2"/>
  <c r="AF10" i="2"/>
  <c r="AE10" i="2"/>
  <c r="AI9" i="2"/>
  <c r="AF9" i="2"/>
  <c r="AE9" i="2"/>
  <c r="AJ8" i="2"/>
  <c r="AI8" i="2"/>
  <c r="AF8" i="2"/>
  <c r="AE8" i="2"/>
  <c r="AI7" i="2"/>
  <c r="AF7" i="2"/>
  <c r="AE7" i="2"/>
  <c r="V7" i="2"/>
  <c r="V8" i="2" s="1"/>
  <c r="V9" i="2" s="1"/>
  <c r="V10" i="2" s="1"/>
  <c r="V11" i="2" s="1"/>
  <c r="V12" i="2" s="1"/>
  <c r="U7" i="2"/>
  <c r="AL6" i="2"/>
  <c r="AK6" i="2"/>
  <c r="AI6" i="2"/>
  <c r="AF6" i="2"/>
  <c r="AE6" i="2"/>
  <c r="AI5" i="2"/>
  <c r="AF5" i="2"/>
  <c r="AE5" i="2"/>
  <c r="R5" i="2"/>
  <c r="R6" i="2" s="1"/>
  <c r="R7" i="2" s="1"/>
  <c r="R8" i="2" s="1"/>
  <c r="R9" i="2" s="1"/>
  <c r="R10" i="2" s="1"/>
  <c r="R11" i="2" s="1"/>
  <c r="R12" i="2" s="1"/>
  <c r="R13" i="2" s="1"/>
  <c r="Q5" i="2"/>
  <c r="Q6" i="2" s="1"/>
  <c r="Q7" i="2" s="1"/>
  <c r="Q8" i="2" s="1"/>
  <c r="Q9" i="2" s="1"/>
  <c r="Q10" i="2" s="1"/>
  <c r="Q11" i="2" s="1"/>
  <c r="Q12" i="2" s="1"/>
  <c r="Q13" i="2" s="1"/>
  <c r="AJ4" i="2"/>
  <c r="AI4" i="2"/>
  <c r="AH4" i="2"/>
  <c r="AG4" i="2"/>
  <c r="AF4" i="2"/>
  <c r="AE4" i="2"/>
  <c r="V4" i="2"/>
  <c r="V5" i="2" s="1"/>
  <c r="U4" i="2"/>
  <c r="U5" i="2" s="1"/>
  <c r="AS15" i="2" s="1"/>
  <c r="AL3" i="2"/>
  <c r="AK3" i="2"/>
  <c r="AJ3" i="2"/>
  <c r="AI3" i="2"/>
  <c r="AH3" i="2"/>
  <c r="AG3" i="2"/>
  <c r="AF3" i="2"/>
  <c r="AE3" i="2"/>
  <c r="BW202" i="1"/>
  <c r="BW201" i="1"/>
  <c r="BW200" i="1"/>
  <c r="BW199" i="1"/>
  <c r="BW198" i="1"/>
  <c r="BW197" i="1"/>
  <c r="BW196" i="1"/>
  <c r="BW195" i="1"/>
  <c r="BW194" i="1"/>
  <c r="BW193" i="1"/>
  <c r="BW192" i="1"/>
  <c r="BW191" i="1"/>
  <c r="BW190" i="1"/>
  <c r="BW189" i="1"/>
  <c r="BW188" i="1"/>
  <c r="BW187" i="1"/>
  <c r="BW186" i="1"/>
  <c r="BW185" i="1"/>
  <c r="BW184" i="1"/>
  <c r="BW183" i="1"/>
  <c r="BW182" i="1"/>
  <c r="BR198" i="1"/>
  <c r="BY203" i="1"/>
  <c r="BY193" i="1"/>
  <c r="BY183" i="1"/>
  <c r="BV203" i="1"/>
  <c r="BT203" i="1"/>
  <c r="AD181" i="1"/>
  <c r="W181" i="1"/>
  <c r="T181" i="1"/>
  <c r="BR159" i="1" l="1"/>
  <c r="BR158" i="1"/>
  <c r="BR157" i="1"/>
  <c r="BR107" i="1"/>
  <c r="BR166" i="1"/>
  <c r="BR162" i="1"/>
  <c r="BR167" i="1"/>
  <c r="BR163" i="1"/>
  <c r="AC27" i="2"/>
  <c r="K8" i="2"/>
  <c r="K12" i="2"/>
  <c r="K16" i="2"/>
  <c r="K20" i="2"/>
  <c r="K4" i="2"/>
  <c r="K15" i="2"/>
  <c r="K23" i="2"/>
  <c r="K5" i="2"/>
  <c r="K9" i="2"/>
  <c r="K13" i="2"/>
  <c r="K17" i="2"/>
  <c r="K21" i="2"/>
  <c r="K11" i="2"/>
  <c r="K6" i="2"/>
  <c r="K10" i="2"/>
  <c r="K14" i="2"/>
  <c r="K18" i="2"/>
  <c r="K22" i="2"/>
  <c r="K7" i="2"/>
  <c r="K19" i="2"/>
  <c r="AH181" i="1"/>
  <c r="AL181" i="1"/>
  <c r="H15" i="2"/>
  <c r="BR165" i="1"/>
  <c r="BR173" i="1"/>
  <c r="BR168" i="1"/>
  <c r="BR160" i="1"/>
  <c r="BR172" i="1"/>
  <c r="BR175" i="1"/>
  <c r="BR170" i="1"/>
  <c r="BR164" i="1"/>
  <c r="BR174" i="1"/>
  <c r="BR169" i="1"/>
  <c r="BR161" i="1"/>
  <c r="F4" i="2"/>
  <c r="F5" i="2" s="1"/>
  <c r="F6" i="2" s="1"/>
  <c r="F7" i="2" s="1"/>
  <c r="F8" i="2" s="1"/>
  <c r="F9" i="2" s="1"/>
  <c r="F10" i="2" s="1"/>
  <c r="F11" i="2" s="1"/>
  <c r="F12" i="2" s="1"/>
  <c r="F13" i="2" s="1"/>
  <c r="I5" i="2"/>
  <c r="J4" i="2"/>
  <c r="E4" i="2"/>
  <c r="E5" i="2" s="1"/>
  <c r="E6" i="2" s="1"/>
  <c r="E7" i="2" s="1"/>
  <c r="E8" i="2" s="1"/>
  <c r="E9" i="2" s="1"/>
  <c r="E10" i="2" s="1"/>
  <c r="E11" i="2" s="1"/>
  <c r="E12" i="2" s="1"/>
  <c r="E13" i="2" s="1"/>
  <c r="I4" i="2"/>
  <c r="I6" i="2"/>
  <c r="I7" i="2"/>
  <c r="H7" i="2"/>
  <c r="H9" i="2"/>
  <c r="H20" i="2"/>
  <c r="H21" i="2"/>
  <c r="H22" i="2"/>
  <c r="H23" i="2"/>
  <c r="H5" i="2"/>
  <c r="H11" i="2"/>
  <c r="H13" i="2"/>
  <c r="H17" i="2"/>
  <c r="AQ10" i="2"/>
  <c r="J6" i="2"/>
  <c r="G5" i="2"/>
  <c r="G8" i="2"/>
  <c r="G16" i="2"/>
  <c r="G4" i="2"/>
  <c r="G11" i="2"/>
  <c r="G15" i="2"/>
  <c r="G17" i="2"/>
  <c r="G6" i="2"/>
  <c r="G9" i="2"/>
  <c r="G12" i="2"/>
  <c r="G14" i="2"/>
  <c r="AS10" i="2"/>
  <c r="G7" i="2"/>
  <c r="G10" i="2"/>
  <c r="G13" i="2"/>
  <c r="V13" i="2"/>
  <c r="V14" i="2" s="1"/>
  <c r="J12" i="2"/>
  <c r="U8" i="2"/>
  <c r="J10" i="2"/>
  <c r="AI20" i="2"/>
  <c r="G20" i="2"/>
  <c r="AI21" i="2"/>
  <c r="G21" i="2"/>
  <c r="AI22" i="2"/>
  <c r="G22" i="2"/>
  <c r="AI23" i="2"/>
  <c r="G23" i="2"/>
  <c r="J8" i="2"/>
  <c r="AJ24" i="2"/>
  <c r="H4" i="2"/>
  <c r="J5" i="2"/>
  <c r="AJ5" i="2"/>
  <c r="H6" i="2"/>
  <c r="AJ6" i="2"/>
  <c r="J7" i="2"/>
  <c r="AJ7" i="2"/>
  <c r="H8" i="2"/>
  <c r="J9" i="2"/>
  <c r="AJ9" i="2"/>
  <c r="H10" i="2"/>
  <c r="J11" i="2"/>
  <c r="AJ11" i="2"/>
  <c r="H12" i="2"/>
  <c r="J13" i="2"/>
  <c r="AJ13" i="2"/>
  <c r="H14" i="2"/>
  <c r="AJ15" i="2"/>
  <c r="H16" i="2"/>
  <c r="AJ17" i="2"/>
  <c r="J183" i="1"/>
  <c r="AI204" i="1" l="1"/>
  <c r="AI209" i="1" s="1"/>
  <c r="AI185" i="1" s="1"/>
  <c r="AD26" i="2"/>
  <c r="AM204" i="1"/>
  <c r="AD27" i="2"/>
  <c r="AG27" i="2" s="1"/>
  <c r="AC26" i="2"/>
  <c r="AG205" i="1"/>
  <c r="AG209" i="1" s="1"/>
  <c r="AK205" i="1"/>
  <c r="I183" i="1"/>
  <c r="AO15" i="2"/>
  <c r="AF182" i="1"/>
  <c r="I8" i="2"/>
  <c r="U9" i="2"/>
  <c r="V15" i="2"/>
  <c r="J14" i="2"/>
  <c r="AG210" i="1" l="1"/>
  <c r="AG185" i="1"/>
  <c r="AG186" i="1" s="1"/>
  <c r="AG187" i="1" s="1"/>
  <c r="AG188" i="1" s="1"/>
  <c r="AG189" i="1" s="1"/>
  <c r="AG190" i="1" s="1"/>
  <c r="AG191" i="1" s="1"/>
  <c r="AG192" i="1" s="1"/>
  <c r="AG193" i="1" s="1"/>
  <c r="AG194" i="1" s="1"/>
  <c r="AG195" i="1" s="1"/>
  <c r="AG196" i="1" s="1"/>
  <c r="AG197" i="1" s="1"/>
  <c r="AG198" i="1" s="1"/>
  <c r="AG199" i="1" s="1"/>
  <c r="AI186" i="1"/>
  <c r="AF28" i="2"/>
  <c r="AG26" i="2"/>
  <c r="AE28" i="2"/>
  <c r="U10" i="2"/>
  <c r="I9" i="2"/>
  <c r="V16" i="2"/>
  <c r="J15" i="2"/>
  <c r="AI187" i="1" l="1"/>
  <c r="AG200" i="1"/>
  <c r="AG201" i="1" s="1"/>
  <c r="AG202" i="1" s="1"/>
  <c r="AG221" i="1"/>
  <c r="AG222" i="1" s="1"/>
  <c r="AH28" i="2"/>
  <c r="V17" i="2"/>
  <c r="J16" i="2"/>
  <c r="U11" i="2"/>
  <c r="I10" i="2"/>
  <c r="AI188" i="1" l="1"/>
  <c r="I11" i="2"/>
  <c r="U12" i="2"/>
  <c r="V18" i="2"/>
  <c r="J17" i="2"/>
  <c r="AI189" i="1" l="1"/>
  <c r="V19" i="2"/>
  <c r="J18" i="2"/>
  <c r="U13" i="2"/>
  <c r="I12" i="2"/>
  <c r="AI190" i="1" l="1"/>
  <c r="U14" i="2"/>
  <c r="I13" i="2"/>
  <c r="V20" i="2"/>
  <c r="J19" i="2"/>
  <c r="AI191" i="1" l="1"/>
  <c r="V21" i="2"/>
  <c r="J20" i="2"/>
  <c r="U15" i="2"/>
  <c r="I14" i="2"/>
  <c r="AI192" i="1" l="1"/>
  <c r="U16" i="2"/>
  <c r="I15" i="2"/>
  <c r="V22" i="2"/>
  <c r="J21" i="2"/>
  <c r="AI193" i="1" l="1"/>
  <c r="V23" i="2"/>
  <c r="J23" i="2" s="1"/>
  <c r="J22" i="2"/>
  <c r="U17" i="2"/>
  <c r="I16" i="2"/>
  <c r="AI194" i="1" l="1"/>
  <c r="U18" i="2"/>
  <c r="I17" i="2"/>
  <c r="AI195" i="1" l="1"/>
  <c r="U19" i="2"/>
  <c r="I18" i="2"/>
  <c r="AI196" i="1" l="1"/>
  <c r="U20" i="2"/>
  <c r="I19" i="2"/>
  <c r="AI197" i="1" l="1"/>
  <c r="U21" i="2"/>
  <c r="I20" i="2"/>
  <c r="AI198" i="1" l="1"/>
  <c r="U22" i="2"/>
  <c r="I21" i="2"/>
  <c r="AI199" i="1" l="1"/>
  <c r="U23" i="2"/>
  <c r="I23" i="2" s="1"/>
  <c r="I22" i="2"/>
  <c r="AI200" i="1" l="1"/>
  <c r="U182" i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AI201" i="1" l="1"/>
  <c r="U193" i="1"/>
  <c r="U194" i="1" s="1"/>
  <c r="U195" i="1" s="1"/>
  <c r="U196" i="1" s="1"/>
  <c r="U197" i="1" s="1"/>
  <c r="U198" i="1" s="1"/>
  <c r="U199" i="1" s="1"/>
  <c r="U200" i="1" s="1"/>
  <c r="U201" i="1" s="1"/>
  <c r="U202" i="1" s="1"/>
  <c r="T192" i="1"/>
  <c r="I3" i="1"/>
  <c r="C5" i="1" s="1"/>
  <c r="L109" i="1"/>
  <c r="AI202" i="1" l="1"/>
  <c r="E169" i="1" l="1"/>
  <c r="W202" i="1"/>
  <c r="F202" i="1" s="1"/>
  <c r="T202" i="1"/>
  <c r="W201" i="1"/>
  <c r="F201" i="1" s="1"/>
  <c r="T201" i="1"/>
  <c r="W200" i="1"/>
  <c r="F200" i="1" s="1"/>
  <c r="T200" i="1"/>
  <c r="W199" i="1"/>
  <c r="F199" i="1" s="1"/>
  <c r="T199" i="1"/>
  <c r="W198" i="1"/>
  <c r="F198" i="1" s="1"/>
  <c r="T198" i="1"/>
  <c r="W197" i="1"/>
  <c r="F197" i="1" s="1"/>
  <c r="T197" i="1"/>
  <c r="W196" i="1"/>
  <c r="F196" i="1" s="1"/>
  <c r="T196" i="1"/>
  <c r="W195" i="1"/>
  <c r="F195" i="1" s="1"/>
  <c r="T195" i="1"/>
  <c r="W194" i="1"/>
  <c r="F194" i="1" s="1"/>
  <c r="T194" i="1"/>
  <c r="W193" i="1"/>
  <c r="F193" i="1" s="1"/>
  <c r="T193" i="1"/>
  <c r="W192" i="1"/>
  <c r="F192" i="1" s="1"/>
  <c r="W191" i="1"/>
  <c r="F191" i="1" s="1"/>
  <c r="T191" i="1"/>
  <c r="W190" i="1"/>
  <c r="F190" i="1" s="1"/>
  <c r="T190" i="1"/>
  <c r="W189" i="1"/>
  <c r="F189" i="1" s="1"/>
  <c r="T189" i="1"/>
  <c r="W188" i="1"/>
  <c r="F188" i="1" s="1"/>
  <c r="T188" i="1"/>
  <c r="W187" i="1"/>
  <c r="F187" i="1" s="1"/>
  <c r="T187" i="1"/>
  <c r="W186" i="1"/>
  <c r="F186" i="1" s="1"/>
  <c r="T186" i="1"/>
  <c r="W185" i="1"/>
  <c r="F185" i="1" s="1"/>
  <c r="T185" i="1"/>
  <c r="W184" i="1"/>
  <c r="F184" i="1" s="1"/>
  <c r="T184" i="1"/>
  <c r="W183" i="1"/>
  <c r="F183" i="1" s="1"/>
  <c r="T183" i="1"/>
  <c r="AD182" i="1"/>
  <c r="AH182" i="1"/>
  <c r="J182" i="1"/>
  <c r="W182" i="1"/>
  <c r="F182" i="1" s="1"/>
  <c r="AG180" i="1"/>
  <c r="I181" i="1" s="1"/>
  <c r="W180" i="1"/>
  <c r="T180" i="1"/>
  <c r="H109" i="1"/>
  <c r="F109" i="1"/>
  <c r="I109" i="1"/>
  <c r="G170" i="1" l="1"/>
  <c r="G171" i="1" s="1"/>
  <c r="J170" i="1"/>
  <c r="J171" i="1" s="1"/>
  <c r="K170" i="1"/>
  <c r="K171" i="1" s="1"/>
  <c r="AK204" i="1"/>
  <c r="AK209" i="1" s="1"/>
  <c r="I182" i="1"/>
  <c r="AL182" i="1"/>
  <c r="X181" i="1"/>
  <c r="AP181" i="1" s="1"/>
  <c r="F181" i="1"/>
  <c r="AE182" i="1"/>
  <c r="X185" i="1"/>
  <c r="X198" i="1"/>
  <c r="X199" i="1"/>
  <c r="X189" i="1"/>
  <c r="X194" i="1"/>
  <c r="X182" i="1"/>
  <c r="Y182" i="1" s="1"/>
  <c r="AO182" i="1" s="1"/>
  <c r="X184" i="1"/>
  <c r="X188" i="1"/>
  <c r="X192" i="1"/>
  <c r="X193" i="1"/>
  <c r="X197" i="1"/>
  <c r="X202" i="1"/>
  <c r="X183" i="1"/>
  <c r="X187" i="1"/>
  <c r="X191" i="1"/>
  <c r="X196" i="1"/>
  <c r="X201" i="1"/>
  <c r="X186" i="1"/>
  <c r="X190" i="1"/>
  <c r="X195" i="1"/>
  <c r="X200" i="1"/>
  <c r="L170" i="1"/>
  <c r="L171" i="1" s="1"/>
  <c r="F170" i="1"/>
  <c r="F171" i="1" s="1"/>
  <c r="I170" i="1"/>
  <c r="I171" i="1" s="1"/>
  <c r="E170" i="1"/>
  <c r="E171" i="1" s="1"/>
  <c r="AK185" i="1" l="1"/>
  <c r="AK186" i="1" s="1"/>
  <c r="AK187" i="1" s="1"/>
  <c r="AK188" i="1" s="1"/>
  <c r="AK189" i="1" s="1"/>
  <c r="AK190" i="1" s="1"/>
  <c r="AK191" i="1" s="1"/>
  <c r="AK192" i="1" s="1"/>
  <c r="AK193" i="1" s="1"/>
  <c r="AK194" i="1" s="1"/>
  <c r="AK195" i="1" s="1"/>
  <c r="AK196" i="1" s="1"/>
  <c r="AK197" i="1" s="1"/>
  <c r="AK198" i="1" s="1"/>
  <c r="AK199" i="1" s="1"/>
  <c r="AK200" i="1" s="1"/>
  <c r="AK201" i="1" s="1"/>
  <c r="AK202" i="1" s="1"/>
  <c r="AO181" i="1"/>
  <c r="AP182" i="1"/>
  <c r="Y193" i="1"/>
  <c r="Y183" i="1"/>
  <c r="Y186" i="1"/>
  <c r="Y185" i="1"/>
  <c r="Y200" i="1"/>
  <c r="Y184" i="1"/>
  <c r="Y202" i="1"/>
  <c r="Y188" i="1"/>
  <c r="Y196" i="1"/>
  <c r="Y195" i="1"/>
  <c r="Y189" i="1"/>
  <c r="Y187" i="1"/>
  <c r="Y198" i="1"/>
  <c r="Y197" i="1"/>
  <c r="Y190" i="1"/>
  <c r="Y201" i="1"/>
  <c r="Y199" i="1"/>
  <c r="Y192" i="1"/>
  <c r="Y191" i="1"/>
  <c r="Y194" i="1"/>
  <c r="H170" i="1"/>
  <c r="H171" i="1" s="1"/>
  <c r="I202" i="1" l="1"/>
  <c r="I184" i="1" l="1"/>
  <c r="J188" i="1" l="1"/>
  <c r="J189" i="1" l="1"/>
  <c r="J190" i="1" l="1"/>
  <c r="J191" i="1" l="1"/>
  <c r="J192" i="1" l="1"/>
  <c r="I190" i="1"/>
  <c r="J193" i="1" l="1"/>
  <c r="I191" i="1"/>
  <c r="J194" i="1" l="1"/>
  <c r="I192" i="1"/>
  <c r="J195" i="1" l="1"/>
  <c r="I193" i="1"/>
  <c r="J196" i="1" l="1"/>
  <c r="I194" i="1"/>
  <c r="J197" i="1" l="1"/>
  <c r="I195" i="1"/>
  <c r="J198" i="1" l="1"/>
  <c r="I196" i="1"/>
  <c r="J199" i="1" l="1"/>
  <c r="I197" i="1"/>
  <c r="J200" i="1" l="1"/>
  <c r="I198" i="1"/>
  <c r="J201" i="1" l="1"/>
  <c r="I199" i="1"/>
  <c r="I201" i="1" l="1"/>
  <c r="I200" i="1"/>
  <c r="AU10" i="2" l="1"/>
  <c r="AU15" i="2"/>
  <c r="L20" i="2" l="1"/>
  <c r="L19" i="2"/>
  <c r="L22" i="2"/>
  <c r="L10" i="2"/>
  <c r="L5" i="2"/>
  <c r="L13" i="2"/>
  <c r="L21" i="2"/>
  <c r="L8" i="2"/>
  <c r="L4" i="2"/>
  <c r="L6" i="2"/>
  <c r="L11" i="2"/>
  <c r="L12" i="2"/>
  <c r="L7" i="2"/>
  <c r="L15" i="2"/>
  <c r="L23" i="2"/>
  <c r="L14" i="2"/>
  <c r="L16" i="2"/>
  <c r="L9" i="2"/>
  <c r="L17" i="2"/>
  <c r="L18" i="2"/>
  <c r="AG175" i="1" l="1"/>
  <c r="N4" i="2" l="1"/>
  <c r="N6" i="2"/>
  <c r="N5" i="2"/>
  <c r="N7" i="2"/>
  <c r="N8" i="2" l="1"/>
  <c r="N9" i="2" l="1"/>
  <c r="N10" i="2" l="1"/>
  <c r="N11" i="2" l="1"/>
  <c r="N12" i="2" l="1"/>
  <c r="N13" i="2" l="1"/>
  <c r="N14" i="2" l="1"/>
  <c r="N15" i="2" l="1"/>
  <c r="N16" i="2" l="1"/>
  <c r="N17" i="2" l="1"/>
  <c r="N18" i="2" l="1"/>
  <c r="N19" i="2" l="1"/>
  <c r="N20" i="2" l="1"/>
  <c r="N21" i="2" l="1"/>
  <c r="N22" i="2" l="1"/>
  <c r="N23" i="2" l="1"/>
  <c r="BI203" i="1" l="1"/>
  <c r="BJ209" i="1" l="1"/>
  <c r="BJ210" i="1" s="1"/>
  <c r="BJ211" i="1" s="1"/>
  <c r="BJ212" i="1" s="1"/>
  <c r="BJ213" i="1" s="1"/>
  <c r="BJ214" i="1" s="1"/>
  <c r="BJ215" i="1" s="1"/>
  <c r="BJ216" i="1" s="1"/>
  <c r="BJ217" i="1" s="1"/>
  <c r="BJ218" i="1" s="1"/>
  <c r="BJ219" i="1" s="1"/>
  <c r="BJ220" i="1" s="1"/>
  <c r="BJ221" i="1" s="1"/>
  <c r="BJ222" i="1" s="1"/>
  <c r="BJ223" i="1" s="1"/>
  <c r="M4" i="2" l="1"/>
  <c r="M6" i="2"/>
  <c r="M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BY214" i="1" l="1"/>
  <c r="BY218" i="1"/>
  <c r="BG203" i="1"/>
  <c r="BY212" i="1"/>
  <c r="BY210" i="1"/>
  <c r="BY222" i="1"/>
  <c r="BY221" i="1"/>
  <c r="BY213" i="1"/>
  <c r="BY216" i="1"/>
  <c r="BY223" i="1"/>
  <c r="BY211" i="1"/>
  <c r="BY220" i="1"/>
  <c r="BY209" i="1"/>
  <c r="BY219" i="1"/>
  <c r="BY215" i="1"/>
  <c r="BY217" i="1"/>
  <c r="BH209" i="1" l="1"/>
  <c r="BH210" i="1" s="1"/>
  <c r="BH211" i="1" s="1"/>
  <c r="BH212" i="1" s="1"/>
  <c r="BH213" i="1" s="1"/>
  <c r="BH214" i="1" s="1"/>
  <c r="BH215" i="1" s="1"/>
  <c r="BH216" i="1" s="1"/>
  <c r="BH217" i="1" s="1"/>
  <c r="BH218" i="1" s="1"/>
  <c r="BH219" i="1" s="1"/>
  <c r="BH220" i="1" s="1"/>
  <c r="BH221" i="1" s="1"/>
  <c r="BH222" i="1" s="1"/>
  <c r="BH223" i="1" s="1"/>
  <c r="L3" i="1"/>
  <c r="AM205" i="1" l="1"/>
  <c r="AC183" i="1"/>
  <c r="AT183" i="1" l="1"/>
  <c r="AE183" i="1"/>
  <c r="G18" i="1"/>
  <c r="I18" i="1" s="1"/>
  <c r="G183" i="1"/>
  <c r="AN183" i="1"/>
  <c r="AJ183" i="1"/>
  <c r="AO183" i="1"/>
  <c r="AF183" i="1"/>
  <c r="AD183" i="1"/>
  <c r="AP183" i="1"/>
  <c r="G184" i="1" l="1"/>
  <c r="AC184" i="1"/>
  <c r="AP184" i="1"/>
  <c r="AD184" i="1"/>
  <c r="Z175" i="1"/>
  <c r="AM206" i="1"/>
  <c r="AM209" i="1" s="1"/>
  <c r="AN184" i="1"/>
  <c r="AJ184" i="1"/>
  <c r="G19" i="1" l="1"/>
  <c r="I19" i="1" s="1"/>
  <c r="AT184" i="1"/>
  <c r="AM185" i="1"/>
  <c r="AK210" i="1"/>
  <c r="AA207" i="1"/>
  <c r="AO184" i="1"/>
  <c r="AE184" i="1"/>
  <c r="AF184" i="1"/>
  <c r="AM186" i="1" l="1"/>
  <c r="AS185" i="1"/>
  <c r="BQ180" i="1"/>
  <c r="BR188" i="1" s="1"/>
  <c r="AN202" i="1"/>
  <c r="AR185" i="1" l="1"/>
  <c r="AQ185" i="1"/>
  <c r="H20" i="1"/>
  <c r="AM187" i="1"/>
  <c r="BR189" i="1"/>
  <c r="BR182" i="1"/>
  <c r="BR192" i="1"/>
  <c r="BR186" i="1"/>
  <c r="BR199" i="1"/>
  <c r="BR200" i="1"/>
  <c r="BR183" i="1"/>
  <c r="BQ203" i="1"/>
  <c r="BR194" i="1"/>
  <c r="BR187" i="1"/>
  <c r="BR185" i="1"/>
  <c r="BR195" i="1"/>
  <c r="BR193" i="1"/>
  <c r="BR197" i="1"/>
  <c r="BR201" i="1"/>
  <c r="BR190" i="1"/>
  <c r="BR191" i="1"/>
  <c r="BR184" i="1"/>
  <c r="BR196" i="1"/>
  <c r="BR202" i="1"/>
  <c r="H21" i="1" l="1"/>
  <c r="AS186" i="1"/>
  <c r="AC7" i="2"/>
  <c r="AD185" i="1"/>
  <c r="AP185" i="1"/>
  <c r="G185" i="1"/>
  <c r="AC185" i="1"/>
  <c r="AT185" i="1" s="1"/>
  <c r="AM188" i="1"/>
  <c r="AR186" i="1"/>
  <c r="H185" i="1"/>
  <c r="AD7" i="2"/>
  <c r="AI207" i="1"/>
  <c r="AM207" i="1"/>
  <c r="AJ185" i="1"/>
  <c r="AN185" i="1"/>
  <c r="H22" i="1" l="1"/>
  <c r="AS187" i="1"/>
  <c r="AM189" i="1"/>
  <c r="AD35" i="2"/>
  <c r="AD36" i="2"/>
  <c r="AO185" i="1"/>
  <c r="AE185" i="1"/>
  <c r="AF185" i="1"/>
  <c r="AQ186" i="1" s="1"/>
  <c r="G20" i="1"/>
  <c r="I20" i="1" s="1"/>
  <c r="AC35" i="2"/>
  <c r="AC36" i="2"/>
  <c r="AR187" i="1"/>
  <c r="AD8" i="2"/>
  <c r="H186" i="1"/>
  <c r="AI208" i="1"/>
  <c r="AM208" i="1"/>
  <c r="AJ186" i="1"/>
  <c r="AN186" i="1"/>
  <c r="H23" i="1" l="1"/>
  <c r="AS188" i="1"/>
  <c r="AF37" i="2"/>
  <c r="AG36" i="2"/>
  <c r="AD38" i="2"/>
  <c r="AD39" i="2"/>
  <c r="AR188" i="1"/>
  <c r="AD9" i="2"/>
  <c r="H187" i="1"/>
  <c r="AJ187" i="1"/>
  <c r="AN187" i="1"/>
  <c r="AC8" i="2"/>
  <c r="AP186" i="1"/>
  <c r="G186" i="1"/>
  <c r="AC186" i="1"/>
  <c r="AD186" i="1"/>
  <c r="AG35" i="2"/>
  <c r="AE37" i="2"/>
  <c r="AM190" i="1"/>
  <c r="AT186" i="1" l="1"/>
  <c r="AF186" i="1"/>
  <c r="AQ187" i="1" s="1"/>
  <c r="AF40" i="2"/>
  <c r="AH37" i="2"/>
  <c r="H24" i="1"/>
  <c r="AS189" i="1"/>
  <c r="AC38" i="2"/>
  <c r="AC39" i="2"/>
  <c r="AG39" i="2" s="1"/>
  <c r="AD42" i="2"/>
  <c r="AD41" i="2"/>
  <c r="AM191" i="1"/>
  <c r="AO186" i="1"/>
  <c r="G21" i="1"/>
  <c r="I21" i="1" s="1"/>
  <c r="AE186" i="1"/>
  <c r="AR189" i="1"/>
  <c r="H188" i="1"/>
  <c r="AD10" i="2"/>
  <c r="H25" i="1" l="1"/>
  <c r="AS190" i="1"/>
  <c r="AF43" i="2"/>
  <c r="AR190" i="1"/>
  <c r="H189" i="1"/>
  <c r="AD11" i="2"/>
  <c r="AC9" i="2"/>
  <c r="AC187" i="1"/>
  <c r="AT187" i="1" s="1"/>
  <c r="G187" i="1"/>
  <c r="AD187" i="1"/>
  <c r="AP187" i="1"/>
  <c r="AM192" i="1"/>
  <c r="AE40" i="2"/>
  <c r="AH40" i="2" s="1"/>
  <c r="AG38" i="2"/>
  <c r="AN188" i="1"/>
  <c r="H26" i="1" l="1"/>
  <c r="AS191" i="1"/>
  <c r="AC41" i="2"/>
  <c r="AC42" i="2"/>
  <c r="AM193" i="1"/>
  <c r="G22" i="1"/>
  <c r="I22" i="1" s="1"/>
  <c r="AO187" i="1"/>
  <c r="AF187" i="1"/>
  <c r="AE187" i="1"/>
  <c r="AR191" i="1"/>
  <c r="AD12" i="2"/>
  <c r="H190" i="1"/>
  <c r="AJ189" i="1"/>
  <c r="AJ188" i="1"/>
  <c r="AG42" i="2" l="1"/>
  <c r="H27" i="1"/>
  <c r="AS192" i="1"/>
  <c r="AC10" i="2"/>
  <c r="AQ188" i="1"/>
  <c r="AM194" i="1"/>
  <c r="AL188" i="1"/>
  <c r="AR192" i="1"/>
  <c r="AD13" i="2"/>
  <c r="H191" i="1"/>
  <c r="AE43" i="2"/>
  <c r="AH43" i="2" s="1"/>
  <c r="AG41" i="2"/>
  <c r="AD45" i="2"/>
  <c r="AD44" i="2"/>
  <c r="G188" i="1"/>
  <c r="AD188" i="1"/>
  <c r="AP188" i="1"/>
  <c r="AC188" i="1"/>
  <c r="AN189" i="1"/>
  <c r="AJ190" i="1"/>
  <c r="AD49" i="2" l="1"/>
  <c r="H28" i="1"/>
  <c r="AS193" i="1"/>
  <c r="AF188" i="1"/>
  <c r="AQ189" i="1" s="1"/>
  <c r="AT188" i="1"/>
  <c r="AR193" i="1"/>
  <c r="H192" i="1"/>
  <c r="AD14" i="2"/>
  <c r="AM195" i="1"/>
  <c r="G23" i="1"/>
  <c r="I23" i="1" s="1"/>
  <c r="AF46" i="2"/>
  <c r="AC44" i="2"/>
  <c r="AG44" i="2" s="1"/>
  <c r="AC45" i="2"/>
  <c r="AJ191" i="1"/>
  <c r="AN190" i="1"/>
  <c r="AE188" i="1"/>
  <c r="AO188" i="1"/>
  <c r="AC49" i="2" l="1"/>
  <c r="AC50" i="2" s="1"/>
  <c r="AL189" i="1"/>
  <c r="H29" i="1"/>
  <c r="AS194" i="1"/>
  <c r="AM196" i="1"/>
  <c r="AR194" i="1"/>
  <c r="H193" i="1"/>
  <c r="AD15" i="2"/>
  <c r="AC11" i="2"/>
  <c r="AE46" i="2"/>
  <c r="AH46" i="2" s="1"/>
  <c r="AG45" i="2"/>
  <c r="AN191" i="1"/>
  <c r="AJ192" i="1"/>
  <c r="AD189" i="1"/>
  <c r="G189" i="1"/>
  <c r="AP189" i="1"/>
  <c r="AC189" i="1"/>
  <c r="AT189" i="1" s="1"/>
  <c r="H30" i="1" l="1"/>
  <c r="AS195" i="1"/>
  <c r="AR195" i="1"/>
  <c r="AD16" i="2"/>
  <c r="H194" i="1"/>
  <c r="AM197" i="1"/>
  <c r="AF189" i="1"/>
  <c r="AQ190" i="1" s="1"/>
  <c r="G24" i="1"/>
  <c r="I24" i="1" s="1"/>
  <c r="AO189" i="1"/>
  <c r="AE189" i="1"/>
  <c r="AJ193" i="1"/>
  <c r="AN192" i="1"/>
  <c r="H31" i="1" l="1"/>
  <c r="AS196" i="1"/>
  <c r="AM198" i="1"/>
  <c r="AR196" i="1"/>
  <c r="AD17" i="2"/>
  <c r="H195" i="1"/>
  <c r="AC12" i="2"/>
  <c r="AL190" i="1"/>
  <c r="AH190" i="1"/>
  <c r="AJ194" i="1"/>
  <c r="AN193" i="1"/>
  <c r="G190" i="1"/>
  <c r="AD190" i="1"/>
  <c r="AC190" i="1"/>
  <c r="AT190" i="1" s="1"/>
  <c r="AP190" i="1"/>
  <c r="H32" i="1" l="1"/>
  <c r="AS197" i="1"/>
  <c r="AR197" i="1"/>
  <c r="H196" i="1"/>
  <c r="AD18" i="2"/>
  <c r="AM199" i="1"/>
  <c r="AF190" i="1"/>
  <c r="AQ191" i="1" s="1"/>
  <c r="G25" i="1"/>
  <c r="I25" i="1" s="1"/>
  <c r="AE190" i="1"/>
  <c r="AO190" i="1"/>
  <c r="AJ195" i="1"/>
  <c r="AN194" i="1"/>
  <c r="H33" i="1" l="1"/>
  <c r="AS198" i="1"/>
  <c r="AM200" i="1"/>
  <c r="AR198" i="1"/>
  <c r="H197" i="1"/>
  <c r="AD19" i="2"/>
  <c r="AC13" i="2"/>
  <c r="AL191" i="1"/>
  <c r="AH191" i="1"/>
  <c r="AN195" i="1"/>
  <c r="AJ196" i="1"/>
  <c r="G191" i="1"/>
  <c r="AD191" i="1"/>
  <c r="AC191" i="1"/>
  <c r="AT191" i="1" s="1"/>
  <c r="AP191" i="1"/>
  <c r="H34" i="1" l="1"/>
  <c r="AS199" i="1"/>
  <c r="AR199" i="1"/>
  <c r="AD20" i="2"/>
  <c r="H198" i="1"/>
  <c r="AM201" i="1"/>
  <c r="AF191" i="1"/>
  <c r="AQ192" i="1" s="1"/>
  <c r="G26" i="1"/>
  <c r="I26" i="1" s="1"/>
  <c r="AJ197" i="1"/>
  <c r="AN196" i="1"/>
  <c r="AO191" i="1"/>
  <c r="AE191" i="1"/>
  <c r="H35" i="1" l="1"/>
  <c r="AS200" i="1"/>
  <c r="AM202" i="1"/>
  <c r="AR200" i="1"/>
  <c r="AD21" i="2"/>
  <c r="H199" i="1"/>
  <c r="AC14" i="2"/>
  <c r="AL192" i="1"/>
  <c r="AH192" i="1"/>
  <c r="AP192" i="1"/>
  <c r="G192" i="1"/>
  <c r="AC192" i="1"/>
  <c r="AT192" i="1" s="1"/>
  <c r="AD192" i="1"/>
  <c r="AN197" i="1"/>
  <c r="AJ198" i="1"/>
  <c r="AB202" i="1" l="1"/>
  <c r="AS202" i="1" s="1"/>
  <c r="H36" i="1"/>
  <c r="AS201" i="1"/>
  <c r="AR201" i="1"/>
  <c r="H200" i="1"/>
  <c r="AD22" i="2"/>
  <c r="AF192" i="1"/>
  <c r="AQ193" i="1" s="1"/>
  <c r="G27" i="1"/>
  <c r="I27" i="1" s="1"/>
  <c r="AN198" i="1"/>
  <c r="AE192" i="1"/>
  <c r="AO192" i="1"/>
  <c r="H37" i="1" l="1"/>
  <c r="AB203" i="1"/>
  <c r="BE203" i="1" s="1"/>
  <c r="AA202" i="1"/>
  <c r="AR202" i="1" s="1"/>
  <c r="AW201" i="1" s="1"/>
  <c r="H201" i="1"/>
  <c r="AD23" i="2"/>
  <c r="AC15" i="2"/>
  <c r="AJ199" i="1"/>
  <c r="AI221" i="1"/>
  <c r="AI222" i="1" s="1"/>
  <c r="AL193" i="1"/>
  <c r="AH193" i="1"/>
  <c r="G193" i="1"/>
  <c r="AP193" i="1"/>
  <c r="AD193" i="1"/>
  <c r="AC193" i="1"/>
  <c r="AT193" i="1" s="1"/>
  <c r="AN199" i="1"/>
  <c r="AJ200" i="1"/>
  <c r="AW203" i="1" l="1"/>
  <c r="AW183" i="1"/>
  <c r="AW184" i="1"/>
  <c r="AW182" i="1"/>
  <c r="AX182" i="1" s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2" i="1"/>
  <c r="AF193" i="1"/>
  <c r="AQ194" i="1" s="1"/>
  <c r="G28" i="1"/>
  <c r="I28" i="1" s="1"/>
  <c r="AJ201" i="1"/>
  <c r="AN200" i="1"/>
  <c r="AO193" i="1"/>
  <c r="AE193" i="1"/>
  <c r="AW220" i="1" l="1"/>
  <c r="AW216" i="1"/>
  <c r="AW219" i="1"/>
  <c r="AW215" i="1"/>
  <c r="AW211" i="1"/>
  <c r="AW207" i="1"/>
  <c r="AW208" i="1"/>
  <c r="AW223" i="1"/>
  <c r="AW218" i="1"/>
  <c r="AW214" i="1"/>
  <c r="AW210" i="1"/>
  <c r="AW206" i="1"/>
  <c r="AX206" i="1" s="1"/>
  <c r="AW212" i="1"/>
  <c r="AW221" i="1"/>
  <c r="AW217" i="1"/>
  <c r="AW213" i="1"/>
  <c r="AW209" i="1"/>
  <c r="AX183" i="1"/>
  <c r="AX184" i="1" s="1"/>
  <c r="AX185" i="1" s="1"/>
  <c r="AX186" i="1" s="1"/>
  <c r="AX187" i="1" s="1"/>
  <c r="AX188" i="1" s="1"/>
  <c r="AX189" i="1" s="1"/>
  <c r="AX190" i="1" s="1"/>
  <c r="AX191" i="1" s="1"/>
  <c r="AX192" i="1" s="1"/>
  <c r="AX193" i="1" s="1"/>
  <c r="AX194" i="1" s="1"/>
  <c r="AX195" i="1" s="1"/>
  <c r="AX196" i="1" s="1"/>
  <c r="AX197" i="1" s="1"/>
  <c r="AX198" i="1" s="1"/>
  <c r="AX199" i="1" s="1"/>
  <c r="AX200" i="1" s="1"/>
  <c r="AX201" i="1" s="1"/>
  <c r="AX202" i="1" s="1"/>
  <c r="AW222" i="1"/>
  <c r="AC16" i="2"/>
  <c r="AL194" i="1"/>
  <c r="AH194" i="1"/>
  <c r="G194" i="1"/>
  <c r="AD194" i="1"/>
  <c r="AC194" i="1"/>
  <c r="AT194" i="1" s="1"/>
  <c r="AP194" i="1"/>
  <c r="H202" i="1"/>
  <c r="AN201" i="1"/>
  <c r="AX207" i="1" l="1"/>
  <c r="AX208" i="1" s="1"/>
  <c r="AX209" i="1" s="1"/>
  <c r="AX210" i="1" s="1"/>
  <c r="AX211" i="1" s="1"/>
  <c r="AX212" i="1" s="1"/>
  <c r="AX213" i="1" s="1"/>
  <c r="AX214" i="1" s="1"/>
  <c r="AX215" i="1" s="1"/>
  <c r="AX216" i="1" s="1"/>
  <c r="AX217" i="1" s="1"/>
  <c r="AX218" i="1" s="1"/>
  <c r="AX219" i="1" s="1"/>
  <c r="AX220" i="1" s="1"/>
  <c r="AX221" i="1" s="1"/>
  <c r="AX222" i="1" s="1"/>
  <c r="AX223" i="1" s="1"/>
  <c r="AW224" i="1"/>
  <c r="AF194" i="1"/>
  <c r="AQ195" i="1" s="1"/>
  <c r="G29" i="1"/>
  <c r="I29" i="1" s="1"/>
  <c r="AD24" i="2"/>
  <c r="AJ202" i="1"/>
  <c r="AO194" i="1"/>
  <c r="AE194" i="1"/>
  <c r="AC17" i="2" l="1"/>
  <c r="AL195" i="1"/>
  <c r="AH195" i="1"/>
  <c r="AP195" i="1"/>
  <c r="AC195" i="1"/>
  <c r="G195" i="1"/>
  <c r="AD195" i="1"/>
  <c r="AT195" i="1" l="1"/>
  <c r="AF195" i="1"/>
  <c r="G30" i="1"/>
  <c r="I30" i="1" s="1"/>
  <c r="AE195" i="1"/>
  <c r="AO195" i="1"/>
  <c r="AC18" i="2" l="1"/>
  <c r="AQ196" i="1"/>
  <c r="AL196" i="1"/>
  <c r="AH196" i="1"/>
  <c r="AD196" i="1"/>
  <c r="G196" i="1"/>
  <c r="AP196" i="1"/>
  <c r="AC196" i="1"/>
  <c r="AT196" i="1" l="1"/>
  <c r="AF196" i="1"/>
  <c r="AQ197" i="1" s="1"/>
  <c r="G31" i="1"/>
  <c r="I31" i="1" s="1"/>
  <c r="AE196" i="1"/>
  <c r="AO196" i="1"/>
  <c r="AC19" i="2" l="1"/>
  <c r="AL197" i="1"/>
  <c r="AH197" i="1"/>
  <c r="AP197" i="1"/>
  <c r="AC197" i="1"/>
  <c r="G197" i="1"/>
  <c r="AD197" i="1"/>
  <c r="AT197" i="1" l="1"/>
  <c r="AF197" i="1"/>
  <c r="G32" i="1"/>
  <c r="I32" i="1" s="1"/>
  <c r="AE197" i="1"/>
  <c r="AO197" i="1"/>
  <c r="AQ198" i="1" l="1"/>
  <c r="AF199" i="1"/>
  <c r="AC20" i="2"/>
  <c r="AL198" i="1"/>
  <c r="AH198" i="1"/>
  <c r="AD198" i="1"/>
  <c r="AP198" i="1"/>
  <c r="AC198" i="1"/>
  <c r="AT198" i="1" s="1"/>
  <c r="G198" i="1"/>
  <c r="AF198" i="1" l="1"/>
  <c r="AQ199" i="1" s="1"/>
  <c r="G33" i="1"/>
  <c r="I33" i="1" s="1"/>
  <c r="AE198" i="1"/>
  <c r="AO198" i="1"/>
  <c r="AC21" i="2" l="1"/>
  <c r="AL199" i="1"/>
  <c r="AH199" i="1"/>
  <c r="AD199" i="1"/>
  <c r="G199" i="1"/>
  <c r="AP199" i="1"/>
  <c r="AC199" i="1"/>
  <c r="AT199" i="1" l="1"/>
  <c r="AQ200" i="1"/>
  <c r="G34" i="1"/>
  <c r="I34" i="1" s="1"/>
  <c r="AO199" i="1"/>
  <c r="AE199" i="1"/>
  <c r="AC22" i="2" l="1"/>
  <c r="AL200" i="1"/>
  <c r="AH200" i="1"/>
  <c r="AP200" i="1"/>
  <c r="AD200" i="1"/>
  <c r="G200" i="1"/>
  <c r="AC200" i="1"/>
  <c r="AT200" i="1" l="1"/>
  <c r="AF200" i="1"/>
  <c r="G35" i="1"/>
  <c r="I35" i="1" s="1"/>
  <c r="AE200" i="1"/>
  <c r="AO200" i="1"/>
  <c r="AC23" i="2" l="1"/>
  <c r="AQ201" i="1"/>
  <c r="AL201" i="1"/>
  <c r="AH201" i="1"/>
  <c r="G201" i="1"/>
  <c r="AC201" i="1"/>
  <c r="AF201" i="1" s="1"/>
  <c r="AP201" i="1"/>
  <c r="AD201" i="1"/>
  <c r="AT201" i="1" l="1"/>
  <c r="Z202" i="1"/>
  <c r="G36" i="1"/>
  <c r="I36" i="1" s="1"/>
  <c r="AO201" i="1"/>
  <c r="AE201" i="1"/>
  <c r="AU203" i="1" l="1"/>
  <c r="AQ202" i="1"/>
  <c r="AL202" i="1"/>
  <c r="AD202" i="1"/>
  <c r="BO180" i="1"/>
  <c r="BP180" i="1" s="1"/>
  <c r="BP181" i="1" s="1"/>
  <c r="BP182" i="1" s="1"/>
  <c r="BP183" i="1" s="1"/>
  <c r="BP184" i="1" s="1"/>
  <c r="BP185" i="1" s="1"/>
  <c r="BP186" i="1" s="1"/>
  <c r="BP187" i="1" s="1"/>
  <c r="BP188" i="1" s="1"/>
  <c r="BP189" i="1" s="1"/>
  <c r="BP190" i="1" s="1"/>
  <c r="BP191" i="1" s="1"/>
  <c r="BP192" i="1" s="1"/>
  <c r="BP193" i="1" s="1"/>
  <c r="BP194" i="1" s="1"/>
  <c r="BP195" i="1" s="1"/>
  <c r="BP196" i="1" s="1"/>
  <c r="BP197" i="1" s="1"/>
  <c r="BP198" i="1" s="1"/>
  <c r="BP199" i="1" s="1"/>
  <c r="BP200" i="1" s="1"/>
  <c r="BP201" i="1" s="1"/>
  <c r="BP202" i="1" s="1"/>
  <c r="AC202" i="1"/>
  <c r="AF202" i="1" s="1"/>
  <c r="AC24" i="2"/>
  <c r="G202" i="1"/>
  <c r="AH202" i="1"/>
  <c r="AP202" i="1"/>
  <c r="AT202" i="1" l="1"/>
  <c r="AU202" i="1" s="1"/>
  <c r="AV202" i="1"/>
  <c r="AV182" i="1"/>
  <c r="AV183" i="1"/>
  <c r="AV184" i="1"/>
  <c r="AU182" i="1"/>
  <c r="AU183" i="1"/>
  <c r="AU184" i="1"/>
  <c r="AV185" i="1"/>
  <c r="AU185" i="1"/>
  <c r="AV186" i="1"/>
  <c r="AU186" i="1"/>
  <c r="AV187" i="1"/>
  <c r="AU187" i="1"/>
  <c r="AV188" i="1"/>
  <c r="AV189" i="1"/>
  <c r="AU188" i="1"/>
  <c r="AU189" i="1"/>
  <c r="AV190" i="1"/>
  <c r="AU190" i="1"/>
  <c r="AV191" i="1"/>
  <c r="AU191" i="1"/>
  <c r="AV192" i="1"/>
  <c r="AU192" i="1"/>
  <c r="AV193" i="1"/>
  <c r="AU193" i="1"/>
  <c r="AV194" i="1"/>
  <c r="AU194" i="1"/>
  <c r="AV195" i="1"/>
  <c r="AU195" i="1"/>
  <c r="AU196" i="1"/>
  <c r="AV196" i="1"/>
  <c r="AV197" i="1"/>
  <c r="AU197" i="1"/>
  <c r="AV198" i="1"/>
  <c r="AU198" i="1"/>
  <c r="AV199" i="1"/>
  <c r="AU199" i="1"/>
  <c r="AV200" i="1"/>
  <c r="AU200" i="1"/>
  <c r="AV201" i="1"/>
  <c r="AU201" i="1"/>
  <c r="AO202" i="1"/>
  <c r="G37" i="1"/>
  <c r="I37" i="1" s="1"/>
  <c r="AC203" i="1"/>
  <c r="AE202" i="1"/>
  <c r="BO203" i="1"/>
  <c r="AU217" i="1" l="1"/>
  <c r="AU220" i="1"/>
  <c r="AU218" i="1"/>
  <c r="AU216" i="1"/>
  <c r="AU214" i="1"/>
  <c r="AU212" i="1"/>
  <c r="AU210" i="1"/>
  <c r="AU208" i="1"/>
  <c r="AU206" i="1"/>
  <c r="AV206" i="1" s="1"/>
  <c r="AU222" i="1"/>
  <c r="AU209" i="1"/>
  <c r="AU223" i="1"/>
  <c r="AU221" i="1"/>
  <c r="AU219" i="1"/>
  <c r="AU215" i="1"/>
  <c r="AU213" i="1"/>
  <c r="AU211" i="1"/>
  <c r="AU207" i="1"/>
  <c r="AE203" i="1"/>
  <c r="BC203" i="1"/>
  <c r="J202" i="1"/>
  <c r="AG207" i="1"/>
  <c r="I185" i="1"/>
  <c r="AH185" i="1"/>
  <c r="AL185" i="1"/>
  <c r="AV207" i="1" l="1"/>
  <c r="AV208" i="1" s="1"/>
  <c r="AV209" i="1" s="1"/>
  <c r="AV210" i="1" s="1"/>
  <c r="AV211" i="1" s="1"/>
  <c r="AV212" i="1" s="1"/>
  <c r="AV213" i="1" s="1"/>
  <c r="AV214" i="1" s="1"/>
  <c r="AV215" i="1" s="1"/>
  <c r="AV216" i="1" s="1"/>
  <c r="AV217" i="1" s="1"/>
  <c r="AV218" i="1" s="1"/>
  <c r="AV219" i="1" s="1"/>
  <c r="AV220" i="1" s="1"/>
  <c r="AV221" i="1" s="1"/>
  <c r="AV222" i="1" s="1"/>
  <c r="AV223" i="1" s="1"/>
  <c r="AU224" i="1"/>
  <c r="J185" i="1"/>
  <c r="AK207" i="1"/>
  <c r="AL187" i="1"/>
  <c r="I189" i="1"/>
  <c r="AH189" i="1"/>
  <c r="J186" i="1"/>
  <c r="AG208" i="1"/>
  <c r="I186" i="1"/>
  <c r="AH186" i="1"/>
  <c r="AH187" i="1"/>
  <c r="I187" i="1"/>
  <c r="I188" i="1"/>
  <c r="AH188" i="1"/>
  <c r="J187" i="1" l="1"/>
  <c r="AL186" i="1"/>
  <c r="AK208" i="1"/>
  <c r="E173" i="1"/>
  <c r="E174" i="1" s="1"/>
  <c r="E175" i="1" s="1"/>
  <c r="E176" i="1" s="1"/>
  <c r="F173" i="1"/>
  <c r="F174" i="1" s="1"/>
  <c r="F175" i="1" s="1"/>
  <c r="F176" i="1" s="1"/>
  <c r="H173" i="1"/>
  <c r="H174" i="1" s="1"/>
  <c r="H175" i="1" s="1"/>
  <c r="H176" i="1" s="1"/>
  <c r="K173" i="1"/>
  <c r="K174" i="1" s="1"/>
  <c r="K175" i="1" s="1"/>
  <c r="K176" i="1" s="1"/>
  <c r="L173" i="1"/>
  <c r="L174" i="1" s="1"/>
  <c r="L175" i="1" s="1"/>
  <c r="L176" i="1" s="1"/>
  <c r="I173" i="1"/>
  <c r="I174" i="1" s="1"/>
  <c r="I175" i="1" s="1"/>
  <c r="I176" i="1" s="1"/>
  <c r="J173" i="1"/>
  <c r="J174" i="1" s="1"/>
  <c r="J175" i="1" s="1"/>
  <c r="J176" i="1" s="1"/>
  <c r="G173" i="1"/>
  <c r="G174" i="1" s="1"/>
  <c r="G175" i="1" s="1"/>
  <c r="G1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Gernot</author>
  </authors>
  <commentList>
    <comment ref="O160" authorId="0" shapeId="0" xr:uid="{D87CEE17-76BE-4BB2-A173-0F2FCE110C4B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Nur Punkte für ausgewählte ("x") Produkte) - je nach Paket erhältst du auch mehr CC-Punkte (CP)</t>
        </r>
      </text>
    </comment>
    <comment ref="AB185" authorId="0" shapeId="0" xr:uid="{0CB31A44-E099-4A37-ABDE-45F79EBEAE97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Mittelwert (mit Abschlag)
</t>
        </r>
      </text>
    </comment>
    <comment ref="AF186" authorId="0" shapeId="0" xr:uid="{18EA274E-722B-476E-A127-3C60E1B5B1F7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bis hier weniger als 5 Tage</t>
        </r>
      </text>
    </comment>
    <comment ref="BJ198" authorId="0" shapeId="0" xr:uid="{36328D59-F7A0-4246-B53E-76B7CFCACFD6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  <comment ref="BN198" authorId="0" shapeId="0" xr:uid="{F8D27A19-234A-4AB5-AB19-4B32B0178038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  <comment ref="BR198" authorId="0" shapeId="0" xr:uid="{146B68AE-C9F4-46E9-80BD-9B0F0C443FC4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  <comment ref="BW198" authorId="0" shapeId="0" xr:uid="{FE4D53D6-62EA-46C7-B3CE-6C8A0A0B53B1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</commentList>
</comments>
</file>

<file path=xl/sharedStrings.xml><?xml version="1.0" encoding="utf-8"?>
<sst xmlns="http://schemas.openxmlformats.org/spreadsheetml/2006/main" count="1833" uniqueCount="358">
  <si>
    <t>Die grün markierten Produkte hast du bei dem entsprechenden Paket inklusive.</t>
  </si>
  <si>
    <t>Bitte setze hier deine "x"</t>
  </si>
  <si>
    <t>↓</t>
  </si>
  <si>
    <t>Format</t>
  </si>
  <si>
    <t>UVP-Preis
im F-Shop</t>
  </si>
  <si>
    <t>µ</t>
  </si>
  <si>
    <t>-</t>
  </si>
  <si>
    <t>Schätzpreis, Preis nach CF ist unbekannt</t>
  </si>
  <si>
    <t>Deine Kosten</t>
  </si>
  <si>
    <t>/</t>
  </si>
  <si>
    <t>Deine Ersparnis</t>
  </si>
  <si>
    <t>Deine zusätzlichen Produkte</t>
  </si>
  <si>
    <t>x</t>
  </si>
  <si>
    <r>
      <t xml:space="preserve">Diesen Rabatt gewährt </t>
    </r>
    <r>
      <rPr>
        <b/>
        <i/>
        <sz val="10"/>
        <color rgb="FF0070C0"/>
        <rFont val="Book Antiqua"/>
        <family val="1"/>
      </rPr>
      <t>deine Kombination</t>
    </r>
    <r>
      <rPr>
        <b/>
        <i/>
        <sz val="10"/>
        <color theme="1"/>
        <rFont val="Book Antiqua"/>
        <family val="1"/>
      </rPr>
      <t xml:space="preserve"> somit gegenüber dem Einkauf </t>
    </r>
    <r>
      <rPr>
        <b/>
        <i/>
        <sz val="10"/>
        <color rgb="FFFF0000"/>
        <rFont val="Book Antiqua"/>
        <family val="1"/>
      </rPr>
      <t xml:space="preserve">deines Wunschpakets </t>
    </r>
    <r>
      <rPr>
        <b/>
        <i/>
        <sz val="10"/>
        <color theme="1"/>
        <rFont val="Book Antiqua"/>
        <family val="1"/>
      </rPr>
      <t>(nach dem Crowdfunding) im F-Shop:</t>
    </r>
  </si>
  <si>
    <t>µ
µ</t>
  </si>
  <si>
    <t>Preis als
Zusatz-produkt</t>
  </si>
  <si>
    <t>Kein Paket</t>
  </si>
  <si>
    <t>Donnerstag</t>
  </si>
  <si>
    <t>Datum</t>
  </si>
  <si>
    <t>Backer</t>
  </si>
  <si>
    <t>€</t>
  </si>
  <si>
    <t>erreichte Ziele</t>
  </si>
  <si>
    <t>nächste Stufe</t>
  </si>
  <si>
    <t>1.</t>
  </si>
  <si>
    <t>2.</t>
  </si>
  <si>
    <t>5.</t>
  </si>
  <si>
    <t>3.</t>
  </si>
  <si>
    <t>7.</t>
  </si>
  <si>
    <t>10.</t>
  </si>
  <si>
    <t>9.</t>
  </si>
  <si>
    <t>11.</t>
  </si>
  <si>
    <t>(alle Angaben ohne Gewähr!)</t>
  </si>
  <si>
    <t>Anzahl Unterstützer je Dankeschön</t>
  </si>
  <si>
    <t>für deine</t>
  </si>
  <si>
    <t>13.</t>
  </si>
  <si>
    <t>15.</t>
  </si>
  <si>
    <t>Tag</t>
  </si>
  <si>
    <t>Wochentag</t>
  </si>
  <si>
    <t>Timecode</t>
  </si>
  <si>
    <t>Uhrzeit</t>
  </si>
  <si>
    <t>h ges.</t>
  </si>
  <si>
    <t>h Diff.</t>
  </si>
  <si>
    <t>€ ges. Ist</t>
  </si>
  <si>
    <t>Abw.</t>
  </si>
  <si>
    <t>€ Diff.</t>
  </si>
  <si>
    <t>Backer ges.</t>
  </si>
  <si>
    <t>€/Backer</t>
  </si>
  <si>
    <t>€/Tag</t>
  </si>
  <si>
    <t>€/Tag ges.</t>
  </si>
  <si>
    <t>Backer Diff.</t>
  </si>
  <si>
    <t>Schnitt l. 5 Tage</t>
  </si>
  <si>
    <t>€/Backer NEU</t>
  </si>
  <si>
    <t>DSK:Fasar</t>
  </si>
  <si>
    <t>AVENTURIA:Nedime</t>
  </si>
  <si>
    <t>DSA:Werkzeuge</t>
  </si>
  <si>
    <t>DSA:Thorwal</t>
  </si>
  <si>
    <t>%</t>
  </si>
  <si>
    <t>Original</t>
  </si>
  <si>
    <t>Normiert</t>
  </si>
  <si>
    <t>Tag 1 mal X</t>
  </si>
  <si>
    <t>Thorwal norm (€)</t>
  </si>
  <si>
    <t>Thorwal norm (Backer)</t>
  </si>
  <si>
    <t>Werkzeuge norm (€)</t>
  </si>
  <si>
    <t>Werkzeuge norm (Backer)</t>
  </si>
  <si>
    <t>Mythos norm (€)</t>
  </si>
  <si>
    <t>Mythos norm (Backer)</t>
  </si>
  <si>
    <t>Thorwal (€)</t>
  </si>
  <si>
    <t>Thorwal (Backer)</t>
  </si>
  <si>
    <t>Werkzeuge (€)</t>
  </si>
  <si>
    <t>Werkzeuge (Backer)</t>
  </si>
  <si>
    <t>Mythos (€)</t>
  </si>
  <si>
    <t>Mythos (Backer)</t>
  </si>
  <si>
    <t>Aventuria (€) %</t>
  </si>
  <si>
    <t>Aventuria (Backer) %</t>
  </si>
  <si>
    <t>Thorwal (€) %</t>
  </si>
  <si>
    <t>Thorwal (Backer) %</t>
  </si>
  <si>
    <t>Werkzeuge (€) %</t>
  </si>
  <si>
    <t>Werkzeuge (Backer) %</t>
  </si>
  <si>
    <t>Mythos (€) %</t>
  </si>
  <si>
    <t>Mthos (Backer) %</t>
  </si>
  <si>
    <t>MP TW (€)</t>
  </si>
  <si>
    <t>MP TW (B)</t>
  </si>
  <si>
    <t>MP AV (€)</t>
  </si>
  <si>
    <t>MP AV (B)</t>
  </si>
  <si>
    <t>DSK (€)</t>
  </si>
  <si>
    <t>DSK (Backer)</t>
  </si>
  <si>
    <t>DSK norm (€)</t>
  </si>
  <si>
    <t>DSK norm (Backer)</t>
  </si>
  <si>
    <t>MP DSK (€)</t>
  </si>
  <si>
    <t>MP DSK (B)</t>
  </si>
  <si>
    <t>Tag 2 mal X</t>
  </si>
  <si>
    <t>Min:</t>
  </si>
  <si>
    <t>Max:</t>
  </si>
  <si>
    <t>B</t>
  </si>
  <si>
    <t>€ kum.</t>
  </si>
  <si>
    <t>Backer kum</t>
  </si>
  <si>
    <t>Vorlage Tag 3</t>
  </si>
  <si>
    <t>4* Tag 2</t>
  </si>
  <si>
    <t>Min. Schätzung</t>
  </si>
  <si>
    <t>Max. Schätzung</t>
  </si>
  <si>
    <t>Stand Ist/HR</t>
  </si>
  <si>
    <t>Anmerkungen</t>
  </si>
  <si>
    <t>Summe</t>
  </si>
  <si>
    <t>4.</t>
  </si>
  <si>
    <t>6.</t>
  </si>
  <si>
    <t>8.</t>
  </si>
  <si>
    <t>12.</t>
  </si>
  <si>
    <t>14.</t>
  </si>
  <si>
    <t>16.</t>
  </si>
  <si>
    <t>17.</t>
  </si>
  <si>
    <t>18.</t>
  </si>
  <si>
    <t>20.</t>
  </si>
  <si>
    <t>21.</t>
  </si>
  <si>
    <t>19.</t>
  </si>
  <si>
    <t>Wunsch-
produkte</t>
  </si>
  <si>
    <t>mp3</t>
  </si>
  <si>
    <t>Nedime (€)</t>
  </si>
  <si>
    <t>Nedime (Backer)</t>
  </si>
  <si>
    <t>Mythen (€)</t>
  </si>
  <si>
    <t>Mythen (Backer)</t>
  </si>
  <si>
    <t>Mythen norm (€)</t>
  </si>
  <si>
    <t>Mythen norm (Backer)</t>
  </si>
  <si>
    <t>Aventuria:Mythen&amp;Legenden</t>
  </si>
  <si>
    <t>€ Summe</t>
  </si>
  <si>
    <t>MP WM (€)</t>
  </si>
  <si>
    <t>MP WM (B)</t>
  </si>
  <si>
    <t>Tag 1</t>
  </si>
  <si>
    <t>Tag 2</t>
  </si>
  <si>
    <t>Min.</t>
  </si>
  <si>
    <t>Max.</t>
  </si>
  <si>
    <t>Kalkulation min.</t>
  </si>
  <si>
    <t>Kalkulation max.</t>
  </si>
  <si>
    <t>€ ges.</t>
  </si>
  <si>
    <t>Prognose</t>
  </si>
  <si>
    <t>DSK (B)</t>
  </si>
  <si>
    <t>WM (€)</t>
  </si>
  <si>
    <t>WM (B)</t>
  </si>
  <si>
    <t>AML (€)</t>
  </si>
  <si>
    <t>AML (B)</t>
  </si>
  <si>
    <t>ANB (€)</t>
  </si>
  <si>
    <t>ANB (B)</t>
  </si>
  <si>
    <t>AML (€/kum)</t>
  </si>
  <si>
    <t>AML (B/kum)</t>
  </si>
  <si>
    <t>DSK (€/kum)</t>
  </si>
  <si>
    <t>DSK (B/kum)</t>
  </si>
  <si>
    <t>WM (€/kum)</t>
  </si>
  <si>
    <t>WM (B/kum)</t>
  </si>
  <si>
    <t>ANB (€/kum)</t>
  </si>
  <si>
    <t>ANB (B/kum)</t>
  </si>
  <si>
    <t>Tag 3</t>
  </si>
  <si>
    <t>Schnitt</t>
  </si>
  <si>
    <t>PDF</t>
  </si>
  <si>
    <r>
      <t xml:space="preserve">Die zusätzlichen Produkte, die du </t>
    </r>
    <r>
      <rPr>
        <b/>
        <i/>
        <sz val="10"/>
        <color rgb="FF0070C0"/>
        <rFont val="Book Antiqua"/>
        <family val="1"/>
      </rPr>
      <t>bei deiner Kombination</t>
    </r>
    <r>
      <rPr>
        <b/>
        <i/>
        <sz val="10"/>
        <color theme="1"/>
        <rFont val="Book Antiqua"/>
        <family val="1"/>
      </rPr>
      <t xml:space="preserve"> erhältst, die </t>
    </r>
    <r>
      <rPr>
        <b/>
        <i/>
        <sz val="10"/>
        <color rgb="FFFF0000"/>
        <rFont val="Book Antiqua"/>
        <family val="1"/>
      </rPr>
      <t>nicht Teil deines Wunschpakets</t>
    </r>
    <r>
      <rPr>
        <b/>
        <i/>
        <sz val="10"/>
        <color theme="1"/>
        <rFont val="Book Antiqua"/>
        <family val="1"/>
      </rPr>
      <t xml:space="preserve"> sind, haben folgenden Wert:</t>
    </r>
  </si>
  <si>
    <r>
      <t xml:space="preserve">Diesen Gesamtrabatt gewährt </t>
    </r>
    <r>
      <rPr>
        <b/>
        <i/>
        <sz val="10"/>
        <color rgb="FF0070C0"/>
        <rFont val="Book Antiqua"/>
        <family val="1"/>
      </rPr>
      <t>deine Kombination</t>
    </r>
    <r>
      <rPr>
        <b/>
        <i/>
        <sz val="10"/>
        <color theme="1"/>
        <rFont val="Book Antiqua"/>
        <family val="1"/>
      </rPr>
      <t xml:space="preserve"> somit gegenüber dem Einkauf (nach dem Crowdfunding) im F-Shop insgesamt:</t>
    </r>
  </si>
  <si>
    <t>MP AML (€)</t>
  </si>
  <si>
    <t>MP AML (B)</t>
  </si>
  <si>
    <t>SOK (€)</t>
  </si>
  <si>
    <t>SOK (Backer)</t>
  </si>
  <si>
    <t>Werkzeuge</t>
  </si>
  <si>
    <t>Tag 3 mal X</t>
  </si>
  <si>
    <t>Tag 4 mal X</t>
  </si>
  <si>
    <t>Tag 5 mal X</t>
  </si>
  <si>
    <t>Tag 4</t>
  </si>
  <si>
    <t>Tag 5</t>
  </si>
  <si>
    <t>Tag 6 mal X</t>
  </si>
  <si>
    <t>Tag 6</t>
  </si>
  <si>
    <t>Tag 7</t>
  </si>
  <si>
    <t>Tag 7 mal X</t>
  </si>
  <si>
    <t>Softcover</t>
  </si>
  <si>
    <t>Hardcover + PDF</t>
  </si>
  <si>
    <t>Softcover + PDF</t>
  </si>
  <si>
    <t>FoundryVTT-Modul</t>
  </si>
  <si>
    <t>CD + mp3</t>
  </si>
  <si>
    <t>Diverse</t>
  </si>
  <si>
    <t>Softcover + Bögen</t>
  </si>
  <si>
    <t>Spielkarten + PDF</t>
  </si>
  <si>
    <t>Spielpläne + PDF</t>
  </si>
  <si>
    <t>Acrylmarker</t>
  </si>
  <si>
    <t>Aufkleber</t>
  </si>
  <si>
    <t>Poster</t>
  </si>
  <si>
    <t>Bögen</t>
  </si>
  <si>
    <r>
      <rPr>
        <b/>
        <sz val="10"/>
        <color rgb="FFFF0000"/>
        <rFont val="Book Antiqua"/>
        <family val="1"/>
      </rPr>
      <t xml:space="preserve">Kein Paket </t>
    </r>
    <r>
      <rPr>
        <b/>
        <sz val="10"/>
        <rFont val="Book Antiqua"/>
        <family val="1"/>
      </rPr>
      <t>(Kauf im F-Shop, nach dem CF)</t>
    </r>
  </si>
  <si>
    <r>
      <t xml:space="preserve">Das zahlst du insgesamt für </t>
    </r>
    <r>
      <rPr>
        <b/>
        <sz val="10"/>
        <color rgb="FF0070C0"/>
        <rFont val="Book Antiqua"/>
        <family val="1"/>
      </rPr>
      <t>die jeweilige Kombination</t>
    </r>
    <r>
      <rPr>
        <b/>
        <sz val="10"/>
        <color theme="1"/>
        <rFont val="Book Antiqua"/>
        <family val="1"/>
      </rPr>
      <t xml:space="preserve">, die </t>
    </r>
    <r>
      <rPr>
        <b/>
        <sz val="10"/>
        <color rgb="FFFF0000"/>
        <rFont val="Book Antiqua"/>
        <family val="1"/>
      </rPr>
      <t>dein Wunschpaket</t>
    </r>
    <r>
      <rPr>
        <b/>
        <sz val="10"/>
        <color theme="1"/>
        <rFont val="Book Antiqua"/>
        <family val="1"/>
      </rPr>
      <t xml:space="preserve"> inkl. der Zusatzprodukte mit abdeckt:</t>
    </r>
  </si>
  <si>
    <t>µ
µ
µ</t>
  </si>
  <si>
    <t>Einleger</t>
  </si>
  <si>
    <t>Druckmotive</t>
  </si>
  <si>
    <t>Zeitung</t>
  </si>
  <si>
    <t>Thorwal</t>
  </si>
  <si>
    <t>ca.-Werte</t>
  </si>
  <si>
    <t>Bildschirm-Hintergrund</t>
  </si>
  <si>
    <t>Bilddatei</t>
  </si>
  <si>
    <t>Die Sonnenküste</t>
  </si>
  <si>
    <r>
      <t xml:space="preserve">Das kostet </t>
    </r>
    <r>
      <rPr>
        <b/>
        <i/>
        <sz val="10"/>
        <color rgb="FF0070C0"/>
        <rFont val="Book Antiqua"/>
        <family val="1"/>
      </rPr>
      <t>deine Kombination</t>
    </r>
    <r>
      <rPr>
        <b/>
        <i/>
        <sz val="10"/>
        <rFont val="Book Antiqua"/>
        <family val="1"/>
      </rPr>
      <t xml:space="preserve"> (nach dem Crowdfunding) im </t>
    </r>
    <r>
      <rPr>
        <b/>
        <i/>
        <sz val="10"/>
        <color theme="1"/>
        <rFont val="Book Antiqua"/>
        <family val="1"/>
      </rPr>
      <t>F-Shop + ulisses-ebook-Shop (voraussichtlich) insgesamt:</t>
    </r>
  </si>
  <si>
    <t>CC-Punkte (CP)</t>
  </si>
  <si>
    <t>Softcover + PDF/ePUB</t>
  </si>
  <si>
    <t>PDF/ePUB</t>
  </si>
  <si>
    <t>Einsteiger</t>
  </si>
  <si>
    <t>Adeptus Minor</t>
  </si>
  <si>
    <t>Adeptus Maior</t>
  </si>
  <si>
    <t>Magus</t>
  </si>
  <si>
    <t>Magus Maximus</t>
  </si>
  <si>
    <t>Erzmagus</t>
  </si>
  <si>
    <t>Dracomagus</t>
  </si>
  <si>
    <r>
      <t xml:space="preserve">Rohals Erben – Aventurische Gildenmagie (Hauptband) </t>
    </r>
    <r>
      <rPr>
        <sz val="8"/>
        <color theme="1"/>
        <rFont val="Book Antiqua"/>
        <family val="1"/>
      </rPr>
      <t>(192 Seiten)</t>
    </r>
  </si>
  <si>
    <r>
      <t>Rohals Erben – Aventurische Gildenmagie (limitiert)</t>
    </r>
    <r>
      <rPr>
        <sz val="8"/>
        <color theme="1"/>
        <rFont val="Book Antiqua"/>
        <family val="1"/>
      </rPr>
      <t xml:space="preserve"> (192 Seiten)</t>
    </r>
  </si>
  <si>
    <r>
      <t>Studierstube der Magier</t>
    </r>
    <r>
      <rPr>
        <sz val="8"/>
        <color theme="1"/>
        <rFont val="Book Antiqua"/>
        <family val="1"/>
      </rPr>
      <t xml:space="preserve"> (32 Seiten)</t>
    </r>
  </si>
  <si>
    <r>
      <t xml:space="preserve">Das Heldenbrevier der Gildenmagie </t>
    </r>
    <r>
      <rPr>
        <sz val="8"/>
        <color theme="1"/>
        <rFont val="Book Antiqua"/>
        <family val="1"/>
      </rPr>
      <t>(160 Seiten; A6)</t>
    </r>
  </si>
  <si>
    <r>
      <t>Das Geheimnis der Zauberschüler (Themenabenteuer)</t>
    </r>
    <r>
      <rPr>
        <sz val="8"/>
        <color theme="1"/>
        <rFont val="Book Antiqua"/>
        <family val="1"/>
      </rPr>
      <t xml:space="preserve"> (48 Seiten)</t>
    </r>
  </si>
  <si>
    <r>
      <t>Dämonenmacht &amp; Sternenkraft (Magier-Anthologie)</t>
    </r>
    <r>
      <rPr>
        <sz val="8"/>
        <color theme="1"/>
        <rFont val="Book Antiqua"/>
        <family val="1"/>
      </rPr>
      <t xml:space="preserve"> (96 Seiten)</t>
    </r>
  </si>
  <si>
    <r>
      <t xml:space="preserve">Sphärenklang – Rohals Erben Audio CD </t>
    </r>
    <r>
      <rPr>
        <sz val="8"/>
        <color theme="1"/>
        <rFont val="Book Antiqua"/>
        <family val="1"/>
      </rPr>
      <t>(21 Tracks)</t>
    </r>
  </si>
  <si>
    <r>
      <t>Glaube, Macht und Heldenmut – Rohals Erben</t>
    </r>
    <r>
      <rPr>
        <sz val="8"/>
        <color theme="1"/>
        <rFont val="Book Antiqua"/>
        <family val="1"/>
      </rPr>
      <t xml:space="preserve"> (48 Seiten)</t>
    </r>
  </si>
  <si>
    <r>
      <t>Spielplanset – Rohals Erben</t>
    </r>
    <r>
      <rPr>
        <sz val="8"/>
        <color theme="1"/>
        <rFont val="Book Antiqua"/>
        <family val="1"/>
      </rPr>
      <t xml:space="preserve"> (4 Schauplätze A3, 1 Schauplatz A2 - Bibliothek, Hörsaal, Labor, Schlafsaal, Beschwörungskeller.)</t>
    </r>
  </si>
  <si>
    <r>
      <t xml:space="preserve">Acrylmarkerset – Rohals Erben  </t>
    </r>
    <r>
      <rPr>
        <sz val="8"/>
        <color theme="1"/>
        <rFont val="Book Antiqua"/>
        <family val="1"/>
      </rPr>
      <t>(24 Acrylmarker)</t>
    </r>
  </si>
  <si>
    <r>
      <t xml:space="preserve">Mada-Vademecum </t>
    </r>
    <r>
      <rPr>
        <sz val="8"/>
        <color theme="1"/>
        <rFont val="Book Antiqua"/>
        <family val="1"/>
      </rPr>
      <t>(160 Seiten; A6)</t>
    </r>
  </si>
  <si>
    <r>
      <t xml:space="preserve">ODL-Vademecum </t>
    </r>
    <r>
      <rPr>
        <sz val="8"/>
        <color theme="1"/>
        <rFont val="Book Antiqua"/>
        <family val="1"/>
      </rPr>
      <t>(160 Seiten; A6)</t>
    </r>
  </si>
  <si>
    <t>Crowdfunding-Paket</t>
  </si>
  <si>
    <t>Der "Rohals Erben"-Einkaufsführer</t>
  </si>
  <si>
    <t>https://www.gameontabletop.com/cf617/das-schwarze-auge-rohals-erben.html</t>
  </si>
  <si>
    <t>Hardcover</t>
  </si>
  <si>
    <t>Rohals Erben - Studierstube für Foundry VTT</t>
  </si>
  <si>
    <t>Das Geheimnis der Zauberschüler für Foundry VTT</t>
  </si>
  <si>
    <r>
      <t xml:space="preserve">Das sparst Du </t>
    </r>
    <r>
      <rPr>
        <b/>
        <sz val="10"/>
        <color rgb="FF00B050"/>
        <rFont val="Book Antiqua"/>
        <family val="1"/>
      </rPr>
      <t>(grüne Zahl)</t>
    </r>
    <r>
      <rPr>
        <b/>
        <sz val="10"/>
        <color theme="1"/>
        <rFont val="Book Antiqua"/>
        <family val="1"/>
      </rPr>
      <t xml:space="preserve">, wenn du stattdessen das Dankeschön "Einsteiger" wählst (bei </t>
    </r>
    <r>
      <rPr>
        <b/>
        <sz val="10"/>
        <color rgb="FFFF0000"/>
        <rFont val="Book Antiqua"/>
        <family val="1"/>
      </rPr>
      <t>roter Zahl</t>
    </r>
    <r>
      <rPr>
        <b/>
        <sz val="10"/>
        <color theme="1"/>
        <rFont val="Book Antiqua"/>
        <family val="1"/>
      </rPr>
      <t xml:space="preserve"> zahlst du mehr!)</t>
    </r>
  </si>
  <si>
    <r>
      <t xml:space="preserve">Das sparst Du </t>
    </r>
    <r>
      <rPr>
        <b/>
        <sz val="10"/>
        <color rgb="FF00B050"/>
        <rFont val="Book Antiqua"/>
        <family val="1"/>
      </rPr>
      <t>(grüne Zahl)</t>
    </r>
    <r>
      <rPr>
        <b/>
        <sz val="10"/>
        <color theme="1"/>
        <rFont val="Book Antiqua"/>
        <family val="1"/>
      </rPr>
      <t xml:space="preserve">, wenn du stattdessen das Dankeschön "Adeptus Minor" wählst (bei </t>
    </r>
    <r>
      <rPr>
        <b/>
        <sz val="10"/>
        <color rgb="FFFF0000"/>
        <rFont val="Book Antiqua"/>
        <family val="1"/>
      </rPr>
      <t>roter Zahl</t>
    </r>
    <r>
      <rPr>
        <b/>
        <sz val="10"/>
        <color theme="1"/>
        <rFont val="Book Antiqua"/>
        <family val="1"/>
      </rPr>
      <t xml:space="preserve"> zahlst du mehr!)</t>
    </r>
  </si>
  <si>
    <r>
      <t xml:space="preserve">Das sparst Du </t>
    </r>
    <r>
      <rPr>
        <b/>
        <sz val="10"/>
        <color rgb="FF00B050"/>
        <rFont val="Book Antiqua"/>
        <family val="1"/>
      </rPr>
      <t>(grüne Zahl)</t>
    </r>
    <r>
      <rPr>
        <b/>
        <sz val="10"/>
        <color theme="1"/>
        <rFont val="Book Antiqua"/>
        <family val="1"/>
      </rPr>
      <t xml:space="preserve">, wenn du stattdessen das Dankeschön "Adeptus Maior" wählst (bei </t>
    </r>
    <r>
      <rPr>
        <b/>
        <sz val="10"/>
        <color rgb="FFFF0000"/>
        <rFont val="Book Antiqua"/>
        <family val="1"/>
      </rPr>
      <t>roter Zahl</t>
    </r>
    <r>
      <rPr>
        <b/>
        <sz val="10"/>
        <color theme="1"/>
        <rFont val="Book Antiqua"/>
        <family val="1"/>
      </rPr>
      <t xml:space="preserve"> zahlst du mehr!)</t>
    </r>
  </si>
  <si>
    <r>
      <t xml:space="preserve">Das sparst Du </t>
    </r>
    <r>
      <rPr>
        <b/>
        <sz val="10"/>
        <color rgb="FF00B050"/>
        <rFont val="Book Antiqua"/>
        <family val="1"/>
      </rPr>
      <t>(grüne Zahl)</t>
    </r>
    <r>
      <rPr>
        <b/>
        <sz val="10"/>
        <color theme="1"/>
        <rFont val="Book Antiqua"/>
        <family val="1"/>
      </rPr>
      <t xml:space="preserve">, wenn du stattdessen das Dankeschön "Magus" wählst (bei </t>
    </r>
    <r>
      <rPr>
        <b/>
        <sz val="10"/>
        <color rgb="FFFF0000"/>
        <rFont val="Book Antiqua"/>
        <family val="1"/>
      </rPr>
      <t>roter Zahl</t>
    </r>
    <r>
      <rPr>
        <b/>
        <sz val="10"/>
        <color theme="1"/>
        <rFont val="Book Antiqua"/>
        <family val="1"/>
      </rPr>
      <t xml:space="preserve"> zahlst du mehr!)</t>
    </r>
  </si>
  <si>
    <r>
      <t xml:space="preserve">Das sparst Du </t>
    </r>
    <r>
      <rPr>
        <b/>
        <sz val="10"/>
        <color rgb="FF00B050"/>
        <rFont val="Book Antiqua"/>
        <family val="1"/>
      </rPr>
      <t>(grüne Zahl)</t>
    </r>
    <r>
      <rPr>
        <b/>
        <sz val="10"/>
        <color theme="1"/>
        <rFont val="Book Antiqua"/>
        <family val="1"/>
      </rPr>
      <t xml:space="preserve">, wenn du stattdessen das Dankeschön "Magus Maximus" wählst (bei </t>
    </r>
    <r>
      <rPr>
        <b/>
        <sz val="10"/>
        <color rgb="FFFF0000"/>
        <rFont val="Book Antiqua"/>
        <family val="1"/>
      </rPr>
      <t>roter Zahl</t>
    </r>
    <r>
      <rPr>
        <b/>
        <sz val="10"/>
        <color theme="1"/>
        <rFont val="Book Antiqua"/>
        <family val="1"/>
      </rPr>
      <t xml:space="preserve"> zahlst du mehr!)</t>
    </r>
  </si>
  <si>
    <r>
      <t xml:space="preserve">Das sparst Du </t>
    </r>
    <r>
      <rPr>
        <b/>
        <sz val="10"/>
        <color rgb="FF00B050"/>
        <rFont val="Book Antiqua"/>
        <family val="1"/>
      </rPr>
      <t>(grüne Zahl)</t>
    </r>
    <r>
      <rPr>
        <b/>
        <sz val="10"/>
        <color theme="1"/>
        <rFont val="Book Antiqua"/>
        <family val="1"/>
      </rPr>
      <t xml:space="preserve">, wenn du stattdessen das Dankeschön "Erzmagus" wählst (bei </t>
    </r>
    <r>
      <rPr>
        <b/>
        <sz val="10"/>
        <color rgb="FFFF0000"/>
        <rFont val="Book Antiqua"/>
        <family val="1"/>
      </rPr>
      <t>roter Zahl</t>
    </r>
    <r>
      <rPr>
        <b/>
        <sz val="10"/>
        <color theme="1"/>
        <rFont val="Book Antiqua"/>
        <family val="1"/>
      </rPr>
      <t xml:space="preserve"> zahlst du mehr!)</t>
    </r>
  </si>
  <si>
    <r>
      <t xml:space="preserve">Das sparst Du </t>
    </r>
    <r>
      <rPr>
        <b/>
        <sz val="10"/>
        <color rgb="FF00B050"/>
        <rFont val="Book Antiqua"/>
        <family val="1"/>
      </rPr>
      <t>(grüne Zahl)</t>
    </r>
    <r>
      <rPr>
        <b/>
        <sz val="10"/>
        <color theme="1"/>
        <rFont val="Book Antiqua"/>
        <family val="1"/>
      </rPr>
      <t xml:space="preserve">, wenn du stattdessen das Dankeschön "Dracomagus" wählst (bei </t>
    </r>
    <r>
      <rPr>
        <b/>
        <sz val="10"/>
        <color rgb="FFFF0000"/>
        <rFont val="Book Antiqua"/>
        <family val="1"/>
      </rPr>
      <t>roter Zahl</t>
    </r>
    <r>
      <rPr>
        <b/>
        <sz val="10"/>
        <color theme="1"/>
        <rFont val="Book Antiqua"/>
        <family val="1"/>
      </rPr>
      <t xml:space="preserve"> zahlst du mehr!)</t>
    </r>
  </si>
  <si>
    <r>
      <t xml:space="preserve">Das kostet </t>
    </r>
    <r>
      <rPr>
        <b/>
        <i/>
        <sz val="10"/>
        <color rgb="FFFF0000"/>
        <rFont val="Book Antiqua"/>
        <family val="1"/>
      </rPr>
      <t>dein Wunschpaket</t>
    </r>
    <r>
      <rPr>
        <b/>
        <i/>
        <sz val="10"/>
        <color theme="1"/>
        <rFont val="Book Antiqua"/>
        <family val="1"/>
      </rPr>
      <t>(nach dem Crowdfunding) (voraussichtlich) im F-Shop/ulisses-ebook-Shop:</t>
    </r>
  </si>
  <si>
    <r>
      <t xml:space="preserve">Grimorum Cantiones </t>
    </r>
    <r>
      <rPr>
        <sz val="8"/>
        <color theme="1"/>
        <rFont val="Book Antiqua"/>
        <family val="1"/>
      </rPr>
      <t>(über 500 Seiten; B5)</t>
    </r>
  </si>
  <si>
    <t>Die Akademie ist gegründet</t>
  </si>
  <si>
    <t>Welcher Gilde gehörst du an?</t>
  </si>
  <si>
    <t>Der Weg der Erkenntnis</t>
  </si>
  <si>
    <t>Möge die Macht dich leiten</t>
  </si>
  <si>
    <t>Des Meisters Lehren sollen dich führen</t>
  </si>
  <si>
    <t>Jedes Poster hat zwei Seiten</t>
  </si>
  <si>
    <t>Auf ins Abenteuer</t>
  </si>
  <si>
    <t>Der Weg der Macht</t>
  </si>
  <si>
    <t>Der Atlas der Magie</t>
  </si>
  <si>
    <t>Extrablatt…Eeeextrablatt</t>
  </si>
  <si>
    <t>Niemand erwartet die Visitation</t>
  </si>
  <si>
    <t>Mögen die Mächtigen dich leiten</t>
  </si>
  <si>
    <t>Hochrechnung (könnte passen, oder auch nicht ;) ) - FOLGT!</t>
  </si>
  <si>
    <r>
      <t>Das Geheimnis der Zauberschüler (Magier-Abenteuer)</t>
    </r>
    <r>
      <rPr>
        <sz val="8"/>
        <color theme="1"/>
        <rFont val="Book Antiqua"/>
        <family val="1"/>
      </rPr>
      <t xml:space="preserve"> (48 Seiten)</t>
    </r>
  </si>
  <si>
    <t>UVP-Preis
im ebook-Shop</t>
  </si>
  <si>
    <r>
      <rPr>
        <b/>
        <i/>
        <sz val="10"/>
        <color theme="1"/>
        <rFont val="Book Antiqua"/>
        <family val="1"/>
      </rPr>
      <t>Rabatt</t>
    </r>
    <r>
      <rPr>
        <i/>
        <sz val="10"/>
        <color theme="1"/>
        <rFont val="Book Antiqua"/>
        <family val="1"/>
      </rPr>
      <t>; Schätzpreis, Preis nach CF ist unbekannt</t>
    </r>
  </si>
  <si>
    <r>
      <rPr>
        <b/>
        <sz val="10"/>
        <color theme="1"/>
        <rFont val="Book Antiqua"/>
        <family val="1"/>
      </rPr>
      <t>Rabatt</t>
    </r>
  </si>
  <si>
    <t>Universal-Spielleiterschirm</t>
  </si>
  <si>
    <t>Kunststoff</t>
  </si>
  <si>
    <t>noch nicht gekauft!</t>
  </si>
  <si>
    <t>Der Weg des Lichts</t>
  </si>
  <si>
    <t>Magie soll jedem zugänglich sein</t>
  </si>
  <si>
    <t>Wen soll ich spielen?</t>
  </si>
  <si>
    <r>
      <t>- Aufkleber "Weißmagier-Gilde", "Graumagier-Gilde", "Schwarzmagier-Gilde"</t>
    </r>
    <r>
      <rPr>
        <b/>
        <i/>
        <sz val="10"/>
        <color theme="1"/>
        <rFont val="Book Antiqua"/>
        <family val="1"/>
      </rPr>
      <t xml:space="preserve"> (1. Ziel)</t>
    </r>
  </si>
  <si>
    <r>
      <t>- Heldendokument "Graumagier"</t>
    </r>
    <r>
      <rPr>
        <i/>
        <sz val="8"/>
        <color theme="1"/>
        <rFont val="Book Antiqua"/>
        <family val="1"/>
      </rPr>
      <t xml:space="preserve"> (2 Stück)</t>
    </r>
    <r>
      <rPr>
        <b/>
        <i/>
        <sz val="10"/>
        <color theme="1"/>
        <rFont val="Book Antiqua"/>
        <family val="1"/>
      </rPr>
      <t xml:space="preserve"> (2. Ziel)</t>
    </r>
  </si>
  <si>
    <r>
      <t xml:space="preserve">- Lesezeichen "Weißmagier-Gilde", "Graumagier-Gilde", "Schwarzmagier-Gilde" </t>
    </r>
    <r>
      <rPr>
        <b/>
        <i/>
        <sz val="10"/>
        <color theme="1"/>
        <rFont val="Book Antiqua"/>
        <family val="1"/>
      </rPr>
      <t>(3. Ziel)</t>
    </r>
  </si>
  <si>
    <r>
      <t xml:space="preserve">- Einleger Universal-Meisterschirm </t>
    </r>
    <r>
      <rPr>
        <i/>
        <sz val="8"/>
        <color theme="1"/>
        <rFont val="Book Antiqua"/>
        <family val="1"/>
      </rPr>
      <t>(6 Stück)</t>
    </r>
    <r>
      <rPr>
        <b/>
        <i/>
        <sz val="8"/>
        <color theme="1"/>
        <rFont val="Book Antiqua"/>
        <family val="1"/>
      </rPr>
      <t xml:space="preserve"> </t>
    </r>
    <r>
      <rPr>
        <b/>
        <i/>
        <sz val="10"/>
        <color theme="1"/>
        <rFont val="Book Antiqua"/>
        <family val="1"/>
      </rPr>
      <t>(4. Ziel)</t>
    </r>
  </si>
  <si>
    <r>
      <t xml:space="preserve">- Wendeposter Kartenmotiv "Insitut der Arkanen Analysen"/"Zauberschüler" </t>
    </r>
    <r>
      <rPr>
        <b/>
        <i/>
        <sz val="10"/>
        <color theme="1"/>
        <rFont val="Book Antiqua"/>
        <family val="1"/>
      </rPr>
      <t>(5. Ziel)</t>
    </r>
  </si>
  <si>
    <r>
      <t>- Auf ins Abenteuer</t>
    </r>
    <r>
      <rPr>
        <i/>
        <sz val="8"/>
        <color theme="1"/>
        <rFont val="Book Antiqua"/>
        <family val="1"/>
      </rPr>
      <t xml:space="preserve"> (32 Seiten; Abenteuer "Lowanger Lügenmärchen" und 6 Archetypen)</t>
    </r>
    <r>
      <rPr>
        <b/>
        <i/>
        <sz val="10"/>
        <color theme="1"/>
        <rFont val="Book Antiqua"/>
        <family val="1"/>
      </rPr>
      <t xml:space="preserve"> (6. Ziel)</t>
    </r>
  </si>
  <si>
    <r>
      <t>- Heldendokument "Schwarzmagier"</t>
    </r>
    <r>
      <rPr>
        <i/>
        <sz val="8"/>
        <color theme="1"/>
        <rFont val="Book Antiqua"/>
        <family val="1"/>
      </rPr>
      <t xml:space="preserve"> (2 Stück)</t>
    </r>
    <r>
      <rPr>
        <b/>
        <i/>
        <sz val="10"/>
        <color theme="1"/>
        <rFont val="Book Antiqua"/>
        <family val="1"/>
      </rPr>
      <t xml:space="preserve"> (7. Ziel)</t>
    </r>
  </si>
  <si>
    <r>
      <t>- Wendeposter "Akademiesiegel"/Landkarte "Akademien in Aventurien"</t>
    </r>
    <r>
      <rPr>
        <b/>
        <i/>
        <sz val="10"/>
        <color theme="1"/>
        <rFont val="Book Antiqua"/>
        <family val="1"/>
      </rPr>
      <t xml:space="preserve"> (8. Ziel)</t>
    </r>
  </si>
  <si>
    <r>
      <t>- Salamander</t>
    </r>
    <r>
      <rPr>
        <i/>
        <sz val="8"/>
        <color theme="1"/>
        <rFont val="Book Antiqua"/>
        <family val="1"/>
      </rPr>
      <t>(2 Seiten; A3)</t>
    </r>
    <r>
      <rPr>
        <b/>
        <i/>
        <sz val="10"/>
        <color theme="1"/>
        <rFont val="Book Antiqua"/>
        <family val="1"/>
      </rPr>
      <t xml:space="preserve"> (9. Ziel)</t>
    </r>
  </si>
  <si>
    <r>
      <t>- Heldendokument "Weißmagier"</t>
    </r>
    <r>
      <rPr>
        <i/>
        <sz val="8"/>
        <color theme="1"/>
        <rFont val="Book Antiqua"/>
        <family val="1"/>
      </rPr>
      <t xml:space="preserve"> (2 Stück)</t>
    </r>
    <r>
      <rPr>
        <i/>
        <sz val="10"/>
        <color theme="1"/>
        <rFont val="Book Antiqua"/>
        <family val="1"/>
      </rPr>
      <t xml:space="preserve"> </t>
    </r>
    <r>
      <rPr>
        <b/>
        <i/>
        <sz val="10"/>
        <color theme="1"/>
        <rFont val="Book Antiqua"/>
        <family val="1"/>
      </rPr>
      <t>(12. Ziel)</t>
    </r>
  </si>
  <si>
    <t>Sonnenküste</t>
  </si>
  <si>
    <t>SOK (€/kum)</t>
  </si>
  <si>
    <t>SOK (B)</t>
  </si>
  <si>
    <t>SOK (B/kum)</t>
  </si>
  <si>
    <t>RE (€)</t>
  </si>
  <si>
    <t>RE (Backer)</t>
  </si>
  <si>
    <t>SOK norm (€)</t>
  </si>
  <si>
    <t>SOK norm (Backer)</t>
  </si>
  <si>
    <t>MP SOK (€)</t>
  </si>
  <si>
    <t>MP SOK (B)</t>
  </si>
  <si>
    <t>Rohals Erben</t>
  </si>
  <si>
    <t>Zusatzprodukt</t>
  </si>
  <si>
    <t>In %</t>
  </si>
  <si>
    <t>Dein Gesamtrabatt</t>
  </si>
  <si>
    <t>Box</t>
  </si>
  <si>
    <r>
      <t>Bundle: Das Geheimnis des Drachenritters - DSA Einsteigerbox + Heldenwerk: Das Mädchen und der Menschenfresser</t>
    </r>
    <r>
      <rPr>
        <sz val="8"/>
        <color theme="1"/>
        <rFont val="Book Antiqua"/>
        <family val="1"/>
      </rPr>
      <t xml:space="preserve"> (16 Seiten)</t>
    </r>
  </si>
  <si>
    <t>enthalten</t>
  </si>
  <si>
    <t>Schätzpreis; nicht als Zusatzprodukt erhältlich!</t>
  </si>
  <si>
    <t>Kauf nach CF</t>
  </si>
  <si>
    <t>https://hinterdemauge.blogspot.com/p/uber-den-podcast.html</t>
  </si>
  <si>
    <t>Mehr über das Projekt erfährst du hier:</t>
  </si>
  <si>
    <t>Hinter dem Auge: Nachrichten, Podcast, Discord, Twitch, YouTube</t>
  </si>
  <si>
    <r>
      <t xml:space="preserve">(made with </t>
    </r>
    <r>
      <rPr>
        <b/>
        <sz val="10"/>
        <color rgb="FFC00000"/>
        <rFont val="Book Antiqua"/>
        <family val="1"/>
      </rPr>
      <t>Auge</t>
    </r>
    <r>
      <rPr>
        <b/>
        <sz val="10"/>
        <color theme="1"/>
        <rFont val="Book Antiqua"/>
        <family val="1"/>
      </rPr>
      <t xml:space="preserve"> by Hinter dem Auge!)</t>
    </r>
  </si>
  <si>
    <t xml:space="preserve">                                                   © 2021 Bild by Ulisses Spiele GmbH               </t>
  </si>
  <si>
    <r>
      <rPr>
        <b/>
        <u/>
        <sz val="14"/>
        <color theme="1"/>
        <rFont val="Book Antiqua"/>
        <family val="1"/>
      </rPr>
      <t>Physische</t>
    </r>
    <r>
      <rPr>
        <b/>
        <sz val="14"/>
        <color theme="1"/>
        <rFont val="Book Antiqua"/>
        <family val="1"/>
      </rPr>
      <t xml:space="preserve"> Produkte des Crowdfundings</t>
    </r>
  </si>
  <si>
    <r>
      <rPr>
        <b/>
        <u/>
        <sz val="14"/>
        <color theme="1"/>
        <rFont val="Book Antiqua"/>
        <family val="1"/>
      </rPr>
      <t>Digitale/Sonstige</t>
    </r>
    <r>
      <rPr>
        <b/>
        <sz val="14"/>
        <color theme="1"/>
        <rFont val="Book Antiqua"/>
        <family val="1"/>
      </rPr>
      <t xml:space="preserve"> Produkte des Crowdfundings</t>
    </r>
    <r>
      <rPr>
        <b/>
        <sz val="11"/>
        <color rgb="FFFF0000"/>
        <rFont val="Book Antiqua"/>
        <family val="1"/>
      </rPr>
      <t/>
    </r>
  </si>
  <si>
    <t>Mein Wunschpaket umfasst ("x" setzen)</t>
  </si>
  <si>
    <r>
      <t xml:space="preserve">DSA1 – Auf dem Weg ohne Gnade (remastered) </t>
    </r>
    <r>
      <rPr>
        <sz val="8"/>
        <color theme="1"/>
        <rFont val="Book Antiqua"/>
        <family val="1"/>
      </rPr>
      <t>(64 Seiten)</t>
    </r>
  </si>
  <si>
    <r>
      <t xml:space="preserve">DSA2 – Ein Stab aus Ulmenholz (remastered) </t>
    </r>
    <r>
      <rPr>
        <sz val="8"/>
        <color theme="1"/>
        <rFont val="Book Antiqua"/>
        <family val="1"/>
      </rPr>
      <t>(56 Seiten)</t>
    </r>
  </si>
  <si>
    <r>
      <t>Die Legende von Assarbad (Neuauflage)</t>
    </r>
    <r>
      <rPr>
        <sz val="8"/>
        <color theme="1"/>
        <rFont val="Book Antiqua"/>
        <family val="1"/>
      </rPr>
      <t xml:space="preserve"> (ca. 288 Seiten)</t>
    </r>
  </si>
  <si>
    <r>
      <t xml:space="preserve">Spielkartenset – Rohals Erben </t>
    </r>
    <r>
      <rPr>
        <sz val="8"/>
        <color theme="1"/>
        <rFont val="Book Antiqua"/>
        <family val="1"/>
      </rPr>
      <t>(ca. 150-200 Karten?)</t>
    </r>
  </si>
  <si>
    <r>
      <t xml:space="preserve">Notizbuch des Adepten </t>
    </r>
    <r>
      <rPr>
        <sz val="8"/>
        <color theme="1"/>
        <rFont val="Book Antiqua"/>
        <family val="1"/>
      </rPr>
      <t>(160 Seiten; A5)</t>
    </r>
  </si>
  <si>
    <r>
      <t xml:space="preserve">Die orange markierten Produkte musst du bei dem entsprechenden Paket als Zusatzprodukt ("Zusatzprodukt") im CF hinzubuchen </t>
    </r>
    <r>
      <rPr>
        <b/>
        <sz val="10"/>
        <color rgb="FFFF0000"/>
        <rFont val="Book Antiqua"/>
        <family val="1"/>
      </rPr>
      <t>ODER</t>
    </r>
    <r>
      <rPr>
        <b/>
        <sz val="10"/>
        <color theme="1"/>
        <rFont val="Book Antiqua"/>
        <family val="1"/>
      </rPr>
      <t xml:space="preserve"> diese sind beim physischen Produkt bereits enthalten ("enthalten")
</t>
    </r>
    <r>
      <rPr>
        <b/>
        <sz val="10"/>
        <color rgb="FFFF0000"/>
        <rFont val="Book Antiqua"/>
        <family val="1"/>
      </rPr>
      <t>ODER</t>
    </r>
    <r>
      <rPr>
        <b/>
        <sz val="10"/>
        <color theme="1"/>
        <rFont val="Book Antiqua"/>
        <family val="1"/>
      </rPr>
      <t xml:space="preserve"> du musst sie nach dem CF im F-Shop bzw. Ulisses-ebook-Shop erwerben ("Kauf nach CF")</t>
    </r>
  </si>
  <si>
    <t>Die Wurzeln des Baums der Reisenden</t>
  </si>
  <si>
    <t>Das Szepter der Macht</t>
  </si>
  <si>
    <t>Der Ursprung der Macht</t>
  </si>
  <si>
    <t>Hol sie dir alle</t>
  </si>
  <si>
    <t>Informationen für den Spieltisch</t>
  </si>
  <si>
    <t>Für Erstsemester der Magiergilde</t>
  </si>
  <si>
    <t>Meisterschirmset "Schwarze Kunst &amp; Limbusreisen"</t>
  </si>
  <si>
    <r>
      <t xml:space="preserve">- Handouts zu "Dämonenmacht &amp; Sternenkraft" </t>
    </r>
    <r>
      <rPr>
        <b/>
        <i/>
        <sz val="10"/>
        <color theme="1"/>
        <rFont val="Book Antiqua"/>
        <family val="1"/>
      </rPr>
      <t>(19. Ziel)</t>
    </r>
  </si>
  <si>
    <t>Das sind die physischen Bestandteile des jeweiligen Pakets wert</t>
  </si>
  <si>
    <t>Das sind die digitalen Bestandteile des jeweiligen Pakets wert</t>
  </si>
  <si>
    <r>
      <t xml:space="preserve">* DSA1 – Auf dem Weg ohne Gnade (remastered) </t>
    </r>
    <r>
      <rPr>
        <sz val="8"/>
        <color theme="1"/>
        <rFont val="Book Antiqua"/>
        <family val="1"/>
      </rPr>
      <t>(64 Seiten)</t>
    </r>
  </si>
  <si>
    <r>
      <t xml:space="preserve">* DSA2 – Ein Stab aus Ulmenholz (remastered) </t>
    </r>
    <r>
      <rPr>
        <sz val="8"/>
        <color theme="1"/>
        <rFont val="Book Antiqua"/>
        <family val="1"/>
      </rPr>
      <t>(56 Seiten)</t>
    </r>
  </si>
  <si>
    <r>
      <t>* Die Legende von Assarbad (Neuauflage)</t>
    </r>
    <r>
      <rPr>
        <sz val="8"/>
        <color theme="1"/>
        <rFont val="Book Antiqua"/>
        <family val="1"/>
      </rPr>
      <t xml:space="preserve"> (ca. 288 Seiten)</t>
    </r>
  </si>
  <si>
    <r>
      <t>* Aranische Nächte 1 - Der Sphärenschlüssel (Neuauflage)</t>
    </r>
    <r>
      <rPr>
        <sz val="8"/>
        <color theme="1"/>
        <rFont val="Book Antiqua"/>
        <family val="1"/>
      </rPr>
      <t xml:space="preserve"> (ca. 298 Seiten)</t>
    </r>
  </si>
  <si>
    <r>
      <t>* Aranische Nächte 2 - Blutrosen (Neuauflage)</t>
    </r>
    <r>
      <rPr>
        <sz val="8"/>
        <color theme="1"/>
        <rFont val="Book Antiqua"/>
        <family val="1"/>
      </rPr>
      <t xml:space="preserve"> (ca. 364 Seiten)</t>
    </r>
  </si>
  <si>
    <r>
      <t>Retro-Bundle</t>
    </r>
    <r>
      <rPr>
        <sz val="10"/>
        <color rgb="FFFF0000"/>
        <rFont val="Book Antiqua"/>
        <family val="1"/>
      </rPr>
      <t xml:space="preserve"> (Achtung: inkl. folgender 5 *-Produkte; nicht beides auswählen!)</t>
    </r>
  </si>
  <si>
    <t>Das sind die physichen &amp; digitalen Bestandteile des jeweiligen Pakets wert</t>
  </si>
  <si>
    <t>Physische Produkte</t>
  </si>
  <si>
    <t>Digitale Produkte</t>
  </si>
  <si>
    <t>Alle Produkte</t>
  </si>
  <si>
    <t>Vergiss mein nicht</t>
  </si>
  <si>
    <t>Erweitere dein Repertoire</t>
  </si>
  <si>
    <t>Wenn Nachtwinde lieben</t>
  </si>
  <si>
    <r>
      <t>- Archetypen-Heldenbögen</t>
    </r>
    <r>
      <rPr>
        <i/>
        <sz val="8"/>
        <color theme="1"/>
        <rFont val="Book Antiqua"/>
        <family val="1"/>
      </rPr>
      <t xml:space="preserve"> (6 Stück) </t>
    </r>
    <r>
      <rPr>
        <b/>
        <i/>
        <sz val="10"/>
        <color theme="1"/>
        <rFont val="Book Antiqua"/>
        <family val="1"/>
      </rPr>
      <t>(14.+17.+22. Ziel)</t>
    </r>
  </si>
  <si>
    <t>Nutze die Kraft, die dir gegeben ist</t>
  </si>
  <si>
    <t>Die geeignete Gewandung</t>
  </si>
  <si>
    <t>Bannschwert, Stab und Magierkugel</t>
  </si>
  <si>
    <t>Vor bösen Mächten geschützt</t>
  </si>
  <si>
    <r>
      <t>Rohals Erben-Druckmotive für GetShirts</t>
    </r>
    <r>
      <rPr>
        <b/>
        <sz val="10"/>
        <color rgb="FF00B050"/>
        <rFont val="Book Antiqua"/>
        <family val="1"/>
      </rPr>
      <t xml:space="preserve"> (exklusiv im Crowdfunding!) (25. Ziel)</t>
    </r>
  </si>
  <si>
    <t>nur für ca. 2 Wochen auf GetShirts erhältlich!</t>
  </si>
  <si>
    <t>separat</t>
  </si>
  <si>
    <r>
      <t>Bannschwert, Stab und Magierkugel</t>
    </r>
    <r>
      <rPr>
        <sz val="8"/>
        <color theme="1"/>
        <rFont val="Book Antiqua"/>
        <family val="1"/>
      </rPr>
      <t xml:space="preserve"> (32 Seiten) </t>
    </r>
    <r>
      <rPr>
        <b/>
        <sz val="10"/>
        <color theme="1"/>
        <rFont val="Book Antiqua"/>
        <family val="1"/>
      </rPr>
      <t>(26. Ziel)</t>
    </r>
  </si>
  <si>
    <r>
      <t>Aranische Nächte 1 - Der Sphärenschlüssel (Neuauflage)</t>
    </r>
    <r>
      <rPr>
        <sz val="8"/>
        <color theme="1"/>
        <rFont val="Book Antiqua"/>
        <family val="1"/>
      </rPr>
      <t xml:space="preserve"> (ca. 298 Seiten)</t>
    </r>
  </si>
  <si>
    <r>
      <t>Aranische Nächte 2 - Blutrosen (Neuauflage)</t>
    </r>
    <r>
      <rPr>
        <sz val="8"/>
        <color theme="1"/>
        <rFont val="Book Antiqua"/>
        <family val="1"/>
      </rPr>
      <t xml:space="preserve"> (ca. 364 Seiten)</t>
    </r>
  </si>
  <si>
    <r>
      <t xml:space="preserve">Dein Held im Salamander! </t>
    </r>
    <r>
      <rPr>
        <b/>
        <sz val="10"/>
        <color rgb="FF00B050"/>
        <rFont val="Book Antiqua"/>
        <family val="1"/>
      </rPr>
      <t>(exklusiv im Crowdfunding!)</t>
    </r>
  </si>
  <si>
    <t xml:space="preserve">gab es nur 6x am Freitag, 15.10., 18:10 Uhr </t>
  </si>
  <si>
    <r>
      <t>Rohals Erben-Sammelbox</t>
    </r>
    <r>
      <rPr>
        <b/>
        <sz val="10"/>
        <color theme="1"/>
        <rFont val="Book Antiqua"/>
        <family val="1"/>
      </rPr>
      <t xml:space="preserve"> (27. Ziel)</t>
    </r>
  </si>
  <si>
    <r>
      <t>* Abenteuerskizze "Niemand erwartet die Visitation"</t>
    </r>
    <r>
      <rPr>
        <b/>
        <i/>
        <sz val="10"/>
        <color theme="1"/>
        <rFont val="Book Antiqua"/>
        <family val="1"/>
      </rPr>
      <t xml:space="preserve"> (10. Ziel)</t>
    </r>
  </si>
  <si>
    <r>
      <t>* Abenteuerskizze "Das Szepter der Macht"</t>
    </r>
    <r>
      <rPr>
        <b/>
        <i/>
        <sz val="10"/>
        <color theme="1"/>
        <rFont val="Book Antiqua"/>
        <family val="1"/>
      </rPr>
      <t xml:space="preserve"> (16. Ziel)</t>
    </r>
  </si>
  <si>
    <r>
      <t>* Abenteuerskizze "Vergiss mein nicht"</t>
    </r>
    <r>
      <rPr>
        <b/>
        <i/>
        <sz val="10"/>
        <color theme="1"/>
        <rFont val="Book Antiqua"/>
        <family val="1"/>
      </rPr>
      <t xml:space="preserve"> (21. Ziel)</t>
    </r>
  </si>
  <si>
    <r>
      <t>* Spielhilfe "Taph</t>
    </r>
    <r>
      <rPr>
        <sz val="10"/>
        <color theme="1"/>
        <rFont val="Book Antiqua"/>
        <family val="1"/>
      </rPr>
      <t>î</t>
    </r>
    <r>
      <rPr>
        <i/>
        <sz val="10"/>
        <color theme="1"/>
        <rFont val="Book Antiqua"/>
        <family val="1"/>
      </rPr>
      <t>rels Turm" (inkl. Karte und weitere NSCs)</t>
    </r>
    <r>
      <rPr>
        <b/>
        <i/>
        <sz val="10"/>
        <color theme="1"/>
        <rFont val="Book Antiqua"/>
        <family val="1"/>
      </rPr>
      <t xml:space="preserve"> (11. Ziel)</t>
    </r>
  </si>
  <si>
    <r>
      <t>* Spielhilfe "Borbaradianismus" (inkl. Tradition und Zauber)</t>
    </r>
    <r>
      <rPr>
        <b/>
        <i/>
        <sz val="10"/>
        <color theme="1"/>
        <rFont val="Book Antiqua"/>
        <family val="1"/>
      </rPr>
      <t xml:space="preserve"> (13. Ziel + 17. Ziel)</t>
    </r>
  </si>
  <si>
    <r>
      <t>* Spielhilfe "Limbus"</t>
    </r>
    <r>
      <rPr>
        <b/>
        <i/>
        <sz val="10"/>
        <color theme="1"/>
        <rFont val="Book Antiqua"/>
        <family val="1"/>
      </rPr>
      <t xml:space="preserve"> (15. Ziel)</t>
    </r>
  </si>
  <si>
    <r>
      <t>* Spielhilfe "Institut der Arkanen Analysen"</t>
    </r>
    <r>
      <rPr>
        <b/>
        <i/>
        <sz val="10"/>
        <color theme="1"/>
        <rFont val="Book Antiqua"/>
        <family val="1"/>
      </rPr>
      <t xml:space="preserve"> (20. Ziel)</t>
    </r>
  </si>
  <si>
    <r>
      <t>* Spielhilfe "Kraftlinien Aventuriens"</t>
    </r>
    <r>
      <rPr>
        <b/>
        <i/>
        <sz val="10"/>
        <color theme="1"/>
        <rFont val="Book Antiqua"/>
        <family val="1"/>
      </rPr>
      <t xml:space="preserve"> (24. Ziel)</t>
    </r>
  </si>
  <si>
    <t>in "Schwarze Kunst" enthalten</t>
  </si>
  <si>
    <t>So viele interessante Bücher</t>
  </si>
  <si>
    <r>
      <t>* Spielhilfe "Generator zum Auswürfeln von Zauberbüchern"</t>
    </r>
    <r>
      <rPr>
        <b/>
        <i/>
        <sz val="10"/>
        <color theme="1"/>
        <rFont val="Book Antiqua"/>
        <family val="1"/>
      </rPr>
      <t xml:space="preserve"> (28. Ziel)</t>
    </r>
  </si>
  <si>
    <t>Die Zeichenfolge ist entscheidend</t>
  </si>
  <si>
    <t>Anteil Unterstützer je Dankeschön</t>
  </si>
  <si>
    <r>
      <t>* Spielhilfe "Zuberzeichen"</t>
    </r>
    <r>
      <rPr>
        <b/>
        <i/>
        <sz val="10"/>
        <color theme="1"/>
        <rFont val="Book Antiqua"/>
        <family val="1"/>
      </rPr>
      <t xml:space="preserve"> (29. Ziel)</t>
    </r>
  </si>
  <si>
    <r>
      <t xml:space="preserve">- Schwarze Kunst &amp; Limbusreisen </t>
    </r>
    <r>
      <rPr>
        <i/>
        <sz val="8"/>
        <color theme="1"/>
        <rFont val="Book Antiqua"/>
        <family val="1"/>
      </rPr>
      <t xml:space="preserve">(inkl. 4 Abenteuerskizzen, 7 Spielhilfen, Auf ins Abenteuer, Heldenbögen etc.); </t>
    </r>
    <r>
      <rPr>
        <i/>
        <sz val="8"/>
        <color rgb="FFFF0000"/>
        <rFont val="Book Antiqua"/>
        <family val="1"/>
      </rPr>
      <t>enthält:</t>
    </r>
  </si>
  <si>
    <r>
      <t>* Abenteuerskizze "Wenn Nachtwinde lieben"</t>
    </r>
    <r>
      <rPr>
        <b/>
        <i/>
        <sz val="10"/>
        <color theme="1"/>
        <rFont val="Book Antiqua"/>
        <family val="1"/>
      </rPr>
      <t xml:space="preserve"> (23. Ziel)</t>
    </r>
  </si>
  <si>
    <t>Rohal und Borbarad - Zwischen Gut und Böse</t>
  </si>
  <si>
    <t>An ein magisches Buch gebunden</t>
  </si>
  <si>
    <r>
      <t xml:space="preserve">- Handouts zu "Rohals Erben" </t>
    </r>
    <r>
      <rPr>
        <b/>
        <i/>
        <sz val="10"/>
        <color theme="1"/>
        <rFont val="Book Antiqua"/>
        <family val="1"/>
      </rPr>
      <t>(31. Ziel)</t>
    </r>
  </si>
  <si>
    <r>
      <t xml:space="preserve">- Handouts zu "Das Geheimnis der Zauberschüler" und "Auf ins Abenteuer" </t>
    </r>
    <r>
      <rPr>
        <b/>
        <i/>
        <sz val="10"/>
        <color theme="1"/>
        <rFont val="Book Antiqua"/>
        <family val="1"/>
      </rPr>
      <t>(30. Ziel)</t>
    </r>
  </si>
  <si>
    <t>Die Schule fürs Leben</t>
  </si>
  <si>
    <t>21:55</t>
  </si>
  <si>
    <r>
      <t>- Archetypen-Heldenbögen zu "Auf ins Abenteuer"</t>
    </r>
    <r>
      <rPr>
        <i/>
        <sz val="8"/>
        <color theme="1"/>
        <rFont val="Book Antiqua"/>
        <family val="1"/>
      </rPr>
      <t xml:space="preserve"> (6 Stück) </t>
    </r>
    <r>
      <rPr>
        <b/>
        <i/>
        <sz val="10"/>
        <color theme="1"/>
        <rFont val="Book Antiqua"/>
        <family val="1"/>
      </rPr>
      <t>(14.+17.+22. Ziel)</t>
    </r>
  </si>
  <si>
    <r>
      <rPr>
        <i/>
        <strike/>
        <sz val="10"/>
        <color theme="1"/>
        <rFont val="Book Antiqua"/>
        <family val="1"/>
      </rPr>
      <t>- Archetypen-Heldenbögen zu "Das Geheimnis der Zauberschüler"</t>
    </r>
    <r>
      <rPr>
        <i/>
        <strike/>
        <sz val="8"/>
        <color theme="1"/>
        <rFont val="Book Antiqua"/>
        <family val="1"/>
      </rPr>
      <t xml:space="preserve"> (6 Stück) </t>
    </r>
    <r>
      <rPr>
        <b/>
        <i/>
        <sz val="10"/>
        <color theme="1"/>
        <rFont val="Book Antiqua"/>
        <family val="1"/>
      </rPr>
      <t>(33. Ziel, bei 350.000 €)</t>
    </r>
  </si>
  <si>
    <r>
      <t xml:space="preserve">Grimorum Cantiones </t>
    </r>
    <r>
      <rPr>
        <sz val="8"/>
        <color theme="1"/>
        <rFont val="Book Antiqua"/>
        <family val="1"/>
      </rPr>
      <t>(über 500 Seiten; B5) + 3 Lesebändchen</t>
    </r>
    <r>
      <rPr>
        <b/>
        <sz val="10"/>
        <color theme="1"/>
        <rFont val="Book Antiqua"/>
        <family val="1"/>
      </rPr>
      <t xml:space="preserve"> (32. Ziel)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</si>
</sst>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\ &quot;€&quot;"/>
    <numFmt numFmtId="165" formatCode="#,##0.00\ &quot;€&quot;"/>
    <numFmt numFmtId="166" formatCode="[$$-409]#,##0"/>
    <numFmt numFmtId="167" formatCode="[$£-809]#,##0"/>
    <numFmt numFmtId="168" formatCode="0.0%"/>
    <numFmt numFmtId="169" formatCode="dddd"/>
    <numFmt numFmtId="170" formatCode="h:mm;@"/>
    <numFmt numFmtId="171" formatCode="[h]:mm"/>
    <numFmt numFmtId="172" formatCode="0&quot;. Tag&quot;"/>
    <numFmt numFmtId="173" formatCode="dd/mm/yy"/>
    <numFmt numFmtId="174" formatCode="dd/mm/yy\,\ hh:mm"/>
  </numFmts>
  <fonts count="6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Book Antiqua"/>
      <family val="1"/>
    </font>
    <font>
      <b/>
      <i/>
      <sz val="10"/>
      <color rgb="FFFF0000"/>
      <name val="Book Antiqua"/>
      <family val="1"/>
    </font>
    <font>
      <i/>
      <sz val="10"/>
      <color theme="1"/>
      <name val="Book Antiqua"/>
      <family val="1"/>
    </font>
    <font>
      <b/>
      <i/>
      <sz val="10"/>
      <name val="Book Antiqua"/>
      <family val="1"/>
    </font>
    <font>
      <b/>
      <i/>
      <sz val="10"/>
      <color theme="1"/>
      <name val="Book Antiqua"/>
      <family val="1"/>
    </font>
    <font>
      <b/>
      <i/>
      <sz val="10"/>
      <color rgb="FF0070C0"/>
      <name val="Book Antiqua"/>
      <family val="1"/>
    </font>
    <font>
      <sz val="10"/>
      <color rgb="FFFF0000"/>
      <name val="Book Antiqua"/>
      <family val="1"/>
    </font>
    <font>
      <u/>
      <sz val="11"/>
      <color theme="10"/>
      <name val="Calibri"/>
      <family val="2"/>
      <scheme val="minor"/>
    </font>
    <font>
      <sz val="10"/>
      <color theme="1"/>
      <name val="Book Antiqua"/>
      <family val="1"/>
    </font>
    <font>
      <b/>
      <sz val="10"/>
      <color rgb="FFFF0000"/>
      <name val="Book Antiqua"/>
      <family val="1"/>
    </font>
    <font>
      <b/>
      <sz val="12"/>
      <color theme="1"/>
      <name val="Book Antiqua"/>
      <family val="1"/>
    </font>
    <font>
      <i/>
      <sz val="11"/>
      <color rgb="FFFF0000"/>
      <name val="Calibri"/>
      <family val="2"/>
      <scheme val="minor"/>
    </font>
    <font>
      <b/>
      <sz val="12"/>
      <name val="Book Antiqua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Book Antiqua"/>
      <family val="1"/>
    </font>
    <font>
      <b/>
      <sz val="12"/>
      <color rgb="FFFF0000"/>
      <name val="Book Antiqua"/>
      <family val="1"/>
    </font>
    <font>
      <sz val="12"/>
      <color theme="1"/>
      <name val="Book Antiqua"/>
      <family val="1"/>
    </font>
    <font>
      <b/>
      <sz val="10"/>
      <color rgb="FF00B050"/>
      <name val="Book Antiqua"/>
      <family val="1"/>
    </font>
    <font>
      <i/>
      <sz val="10"/>
      <color rgb="FFFF0000"/>
      <name val="Book Antiqua"/>
      <family val="1"/>
    </font>
    <font>
      <b/>
      <sz val="10"/>
      <color theme="1"/>
      <name val="Book Antiqua"/>
      <family val="1"/>
    </font>
    <font>
      <b/>
      <sz val="10"/>
      <color rgb="FFC00000"/>
      <name val="Book Antiqua"/>
      <family val="1"/>
    </font>
    <font>
      <sz val="10"/>
      <color rgb="FF00B050"/>
      <name val="Book Antiqua"/>
      <family val="1"/>
    </font>
    <font>
      <strike/>
      <sz val="10"/>
      <color rgb="FFFF0000"/>
      <name val="Book Antiqua"/>
      <family val="1"/>
    </font>
    <font>
      <sz val="10"/>
      <name val="Book Antiqua"/>
      <family val="1"/>
    </font>
    <font>
      <strike/>
      <sz val="10"/>
      <color theme="1"/>
      <name val="Book Antiqua"/>
      <family val="1"/>
    </font>
    <font>
      <strike/>
      <sz val="10"/>
      <color rgb="FF00B050"/>
      <name val="Book Antiqua"/>
      <family val="1"/>
    </font>
    <font>
      <i/>
      <sz val="10"/>
      <color rgb="FF00B050"/>
      <name val="Book Antiqua"/>
      <family val="1"/>
    </font>
    <font>
      <i/>
      <strike/>
      <sz val="10"/>
      <color theme="1"/>
      <name val="Book Antiqua"/>
      <family val="1"/>
    </font>
    <font>
      <b/>
      <sz val="10"/>
      <color rgb="FF0070C0"/>
      <name val="Book Antiqua"/>
      <family val="1"/>
    </font>
    <font>
      <i/>
      <strike/>
      <sz val="10"/>
      <color rgb="FFFF0000"/>
      <name val="Book Antiqua"/>
      <family val="1"/>
    </font>
    <font>
      <i/>
      <sz val="10"/>
      <name val="Book Antiqua"/>
      <family val="1"/>
    </font>
    <font>
      <b/>
      <u/>
      <sz val="14"/>
      <color theme="10"/>
      <name val="Wingdings"/>
      <charset val="2"/>
    </font>
    <font>
      <sz val="14"/>
      <color theme="1"/>
      <name val="Wingdings"/>
      <charset val="2"/>
    </font>
    <font>
      <i/>
      <sz val="14"/>
      <color theme="1"/>
      <name val="Wingdings"/>
      <charset val="2"/>
    </font>
    <font>
      <b/>
      <sz val="14"/>
      <color theme="1"/>
      <name val="Wingdings"/>
      <charset val="2"/>
    </font>
    <font>
      <b/>
      <sz val="14"/>
      <color rgb="FFFF0000"/>
      <name val="Wingdings"/>
      <charset val="2"/>
    </font>
    <font>
      <sz val="14"/>
      <color rgb="FFFF0000"/>
      <name val="Wingdings"/>
      <charset val="2"/>
    </font>
    <font>
      <sz val="14"/>
      <color rgb="FF00B050"/>
      <name val="Wingdings"/>
      <charset val="2"/>
    </font>
    <font>
      <sz val="14"/>
      <name val="Wingdings"/>
      <charset val="2"/>
    </font>
    <font>
      <sz val="13"/>
      <color rgb="FFFF0000"/>
      <name val="Book Antiqua"/>
      <family val="1"/>
    </font>
    <font>
      <i/>
      <sz val="13"/>
      <color rgb="FFFF0000"/>
      <name val="Book Antiqua"/>
      <family val="1"/>
    </font>
    <font>
      <sz val="8"/>
      <color theme="1"/>
      <name val="Book Antiqua"/>
      <family val="1"/>
    </font>
    <font>
      <i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sz val="30"/>
      <color rgb="FFFF0000"/>
      <name val="Book Antiqua"/>
      <family val="1"/>
    </font>
    <font>
      <b/>
      <u/>
      <sz val="12"/>
      <color theme="10"/>
      <name val="Book Antiqua"/>
      <family val="1"/>
    </font>
    <font>
      <b/>
      <sz val="10"/>
      <color rgb="FF7030A0"/>
      <name val="Book Antiqua"/>
      <family val="1"/>
    </font>
    <font>
      <b/>
      <sz val="10"/>
      <color theme="7" tint="-0.249977111117893"/>
      <name val="Book Antiqua"/>
      <family val="1"/>
    </font>
    <font>
      <b/>
      <sz val="9"/>
      <color rgb="FF00B050"/>
      <name val="Book Antiqua"/>
      <family val="1"/>
    </font>
    <font>
      <b/>
      <sz val="9"/>
      <name val="Book Antiqua"/>
      <family val="1"/>
    </font>
    <font>
      <b/>
      <sz val="14"/>
      <color rgb="FFFF0000"/>
      <name val="Book Antiqua"/>
      <family val="1"/>
    </font>
    <font>
      <b/>
      <u/>
      <sz val="11"/>
      <color theme="10"/>
      <name val="Book Antiqua"/>
      <family val="1"/>
    </font>
    <font>
      <b/>
      <sz val="10"/>
      <color theme="5"/>
      <name val="Book Antiqua"/>
      <family val="1"/>
    </font>
    <font>
      <sz val="8"/>
      <color theme="0"/>
      <name val="Book Antiqua"/>
      <family val="1"/>
    </font>
    <font>
      <b/>
      <sz val="14"/>
      <color theme="1"/>
      <name val="Book Antiqua"/>
      <family val="1"/>
    </font>
    <font>
      <b/>
      <u/>
      <sz val="14"/>
      <color theme="1"/>
      <name val="Book Antiqua"/>
      <family val="1"/>
    </font>
    <font>
      <i/>
      <sz val="10"/>
      <color theme="9" tint="0.79998168889431442"/>
      <name val="Book Antiqua"/>
      <family val="1"/>
    </font>
    <font>
      <i/>
      <sz val="8"/>
      <color rgb="FFFF0000"/>
      <name val="Book Antiqua"/>
      <family val="1"/>
    </font>
    <font>
      <i/>
      <strike/>
      <sz val="8"/>
      <color theme="1"/>
      <name val="Book Antiqua"/>
      <family val="1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 style="medium">
        <color rgb="FFFF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 style="medium">
        <color rgb="FFFF0000"/>
      </diagonal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80">
    <xf numFmtId="0" fontId="0" fillId="0" borderId="0" xfId="0"/>
    <xf numFmtId="0" fontId="10" fillId="3" borderId="0" xfId="0" applyFont="1" applyFill="1"/>
    <xf numFmtId="0" fontId="15" fillId="3" borderId="0" xfId="0" applyFont="1" applyFill="1"/>
    <xf numFmtId="3" fontId="1" fillId="0" borderId="0" xfId="0" applyNumberFormat="1" applyFont="1"/>
    <xf numFmtId="3" fontId="6" fillId="0" borderId="0" xfId="0" applyNumberFormat="1" applyFont="1"/>
    <xf numFmtId="2" fontId="1" fillId="0" borderId="0" xfId="0" applyNumberFormat="1" applyFont="1"/>
    <xf numFmtId="0" fontId="6" fillId="0" borderId="0" xfId="0" applyFont="1"/>
    <xf numFmtId="3" fontId="0" fillId="0" borderId="0" xfId="0" applyNumberFormat="1"/>
    <xf numFmtId="2" fontId="6" fillId="0" borderId="0" xfId="0" applyNumberFormat="1" applyFont="1"/>
    <xf numFmtId="168" fontId="0" fillId="0" borderId="0" xfId="0" applyNumberFormat="1"/>
    <xf numFmtId="3" fontId="1" fillId="6" borderId="0" xfId="0" applyNumberFormat="1" applyFont="1" applyFill="1"/>
    <xf numFmtId="3" fontId="6" fillId="6" borderId="0" xfId="0" applyNumberFormat="1" applyFont="1" applyFill="1"/>
    <xf numFmtId="3" fontId="23" fillId="0" borderId="0" xfId="0" applyNumberFormat="1" applyFont="1"/>
    <xf numFmtId="3" fontId="3" fillId="0" borderId="0" xfId="0" applyNumberFormat="1" applyFont="1"/>
    <xf numFmtId="168" fontId="4" fillId="0" borderId="0" xfId="0" applyNumberFormat="1" applyFont="1"/>
    <xf numFmtId="168" fontId="22" fillId="0" borderId="0" xfId="0" applyNumberFormat="1" applyFont="1"/>
    <xf numFmtId="0" fontId="4" fillId="0" borderId="0" xfId="0" applyFont="1"/>
    <xf numFmtId="3" fontId="23" fillId="6" borderId="0" xfId="0" applyNumberFormat="1" applyFont="1" applyFill="1"/>
    <xf numFmtId="3" fontId="3" fillId="6" borderId="0" xfId="0" applyNumberFormat="1" applyFont="1" applyFill="1"/>
    <xf numFmtId="2" fontId="3" fillId="0" borderId="0" xfId="0" applyNumberFormat="1" applyFont="1"/>
    <xf numFmtId="2" fontId="23" fillId="0" borderId="0" xfId="0" applyNumberFormat="1" applyFont="1"/>
    <xf numFmtId="0" fontId="1" fillId="0" borderId="0" xfId="0" applyFont="1"/>
    <xf numFmtId="0" fontId="23" fillId="0" borderId="0" xfId="0" applyFont="1"/>
    <xf numFmtId="2" fontId="4" fillId="0" borderId="0" xfId="0" applyNumberFormat="1" applyFont="1"/>
    <xf numFmtId="2" fontId="0" fillId="0" borderId="0" xfId="0" applyNumberFormat="1"/>
    <xf numFmtId="2" fontId="1" fillId="0" borderId="34" xfId="0" applyNumberFormat="1" applyFont="1" applyBorder="1"/>
    <xf numFmtId="0" fontId="6" fillId="0" borderId="35" xfId="0" applyFont="1" applyBorder="1"/>
    <xf numFmtId="2" fontId="1" fillId="0" borderId="36" xfId="0" applyNumberFormat="1" applyFont="1" applyBorder="1"/>
    <xf numFmtId="2" fontId="6" fillId="0" borderId="37" xfId="0" applyNumberFormat="1" applyFont="1" applyBorder="1"/>
    <xf numFmtId="2" fontId="1" fillId="0" borderId="38" xfId="0" applyNumberFormat="1" applyFont="1" applyBorder="1"/>
    <xf numFmtId="2" fontId="6" fillId="0" borderId="39" xfId="0" applyNumberFormat="1" applyFont="1" applyBorder="1"/>
    <xf numFmtId="0" fontId="6" fillId="0" borderId="40" xfId="0" applyFont="1" applyBorder="1"/>
    <xf numFmtId="2" fontId="1" fillId="0" borderId="40" xfId="0" applyNumberFormat="1" applyFont="1" applyBorder="1"/>
    <xf numFmtId="2" fontId="6" fillId="0" borderId="0" xfId="0" applyNumberFormat="1" applyFont="1" applyBorder="1"/>
    <xf numFmtId="2" fontId="1" fillId="0" borderId="0" xfId="0" applyNumberFormat="1" applyFont="1" applyBorder="1"/>
    <xf numFmtId="2" fontId="6" fillId="0" borderId="41" xfId="0" applyNumberFormat="1" applyFont="1" applyBorder="1"/>
    <xf numFmtId="2" fontId="1" fillId="0" borderId="41" xfId="0" applyNumberFormat="1" applyFont="1" applyBorder="1"/>
    <xf numFmtId="4" fontId="1" fillId="0" borderId="0" xfId="0" applyNumberFormat="1" applyFont="1"/>
    <xf numFmtId="0" fontId="0" fillId="0" borderId="0" xfId="0" applyFont="1"/>
    <xf numFmtId="4" fontId="0" fillId="0" borderId="0" xfId="0" applyNumberFormat="1" applyFont="1"/>
    <xf numFmtId="1" fontId="1" fillId="0" borderId="0" xfId="0" applyNumberFormat="1" applyFont="1"/>
    <xf numFmtId="10" fontId="10" fillId="7" borderId="0" xfId="0" applyNumberFormat="1" applyFont="1" applyFill="1"/>
    <xf numFmtId="0" fontId="10" fillId="7" borderId="0" xfId="0" applyFont="1" applyFill="1"/>
    <xf numFmtId="0" fontId="24" fillId="7" borderId="0" xfId="0" applyFont="1" applyFill="1"/>
    <xf numFmtId="4" fontId="10" fillId="7" borderId="0" xfId="0" applyNumberFormat="1" applyFont="1" applyFill="1"/>
    <xf numFmtId="0" fontId="10" fillId="7" borderId="0" xfId="0" applyFont="1" applyFill="1" applyAlignment="1">
      <alignment horizontal="center"/>
    </xf>
    <xf numFmtId="165" fontId="10" fillId="7" borderId="0" xfId="0" applyNumberFormat="1" applyFont="1" applyFill="1"/>
    <xf numFmtId="0" fontId="15" fillId="7" borderId="0" xfId="0" applyFont="1" applyFill="1"/>
    <xf numFmtId="0" fontId="9" fillId="7" borderId="0" xfId="0" applyFont="1" applyFill="1"/>
    <xf numFmtId="4" fontId="15" fillId="7" borderId="0" xfId="0" applyNumberFormat="1" applyFont="1" applyFill="1"/>
    <xf numFmtId="3" fontId="1" fillId="0" borderId="0" xfId="0" applyNumberFormat="1" applyFont="1" applyFill="1"/>
    <xf numFmtId="3" fontId="3" fillId="0" borderId="0" xfId="0" applyNumberFormat="1" applyFont="1" applyFill="1"/>
    <xf numFmtId="2" fontId="2" fillId="0" borderId="0" xfId="0" applyNumberFormat="1" applyFont="1" applyBorder="1"/>
    <xf numFmtId="2" fontId="3" fillId="0" borderId="0" xfId="0" applyNumberFormat="1" applyFont="1" applyBorder="1"/>
    <xf numFmtId="2" fontId="23" fillId="0" borderId="37" xfId="0" applyNumberFormat="1" applyFont="1" applyBorder="1"/>
    <xf numFmtId="2" fontId="3" fillId="0" borderId="40" xfId="0" applyNumberFormat="1" applyFont="1" applyBorder="1"/>
    <xf numFmtId="0" fontId="23" fillId="0" borderId="40" xfId="0" applyFont="1" applyBorder="1"/>
    <xf numFmtId="2" fontId="23" fillId="0" borderId="0" xfId="0" applyNumberFormat="1" applyFont="1" applyBorder="1"/>
    <xf numFmtId="2" fontId="3" fillId="0" borderId="41" xfId="0" applyNumberFormat="1" applyFont="1" applyBorder="1"/>
    <xf numFmtId="2" fontId="23" fillId="0" borderId="41" xfId="0" applyNumberFormat="1" applyFont="1" applyBorder="1"/>
    <xf numFmtId="2" fontId="2" fillId="0" borderId="40" xfId="0" applyNumberFormat="1" applyFont="1" applyBorder="1"/>
    <xf numFmtId="0" fontId="18" fillId="0" borderId="40" xfId="0" applyFont="1" applyBorder="1"/>
    <xf numFmtId="2" fontId="18" fillId="0" borderId="0" xfId="0" applyNumberFormat="1" applyFont="1" applyBorder="1"/>
    <xf numFmtId="2" fontId="2" fillId="0" borderId="41" xfId="0" applyNumberFormat="1" applyFont="1" applyBorder="1"/>
    <xf numFmtId="2" fontId="18" fillId="0" borderId="41" xfId="0" applyNumberFormat="1" applyFont="1" applyBorder="1"/>
    <xf numFmtId="0" fontId="8" fillId="7" borderId="0" xfId="0" applyFont="1" applyFill="1"/>
    <xf numFmtId="0" fontId="8" fillId="7" borderId="0" xfId="0" applyFont="1" applyFill="1" applyAlignment="1">
      <alignment horizontal="center"/>
    </xf>
    <xf numFmtId="0" fontId="13" fillId="7" borderId="0" xfId="0" applyFont="1" applyFill="1"/>
    <xf numFmtId="3" fontId="0" fillId="0" borderId="49" xfId="0" applyNumberFormat="1" applyFont="1" applyFill="1" applyBorder="1"/>
    <xf numFmtId="4" fontId="0" fillId="0" borderId="0" xfId="0" applyNumberFormat="1"/>
    <xf numFmtId="4" fontId="15" fillId="7" borderId="0" xfId="0" applyNumberFormat="1" applyFont="1" applyFill="1" applyAlignment="1">
      <alignment horizontal="center"/>
    </xf>
    <xf numFmtId="0" fontId="27" fillId="7" borderId="0" xfId="0" applyFont="1" applyFill="1" applyAlignment="1">
      <alignment horizontal="center"/>
    </xf>
    <xf numFmtId="0" fontId="28" fillId="7" borderId="0" xfId="0" applyFont="1" applyFill="1"/>
    <xf numFmtId="0" fontId="29" fillId="7" borderId="0" xfId="0" applyFont="1" applyFill="1" applyAlignment="1">
      <alignment horizontal="center" vertical="center"/>
    </xf>
    <xf numFmtId="3" fontId="27" fillId="7" borderId="28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3" fontId="31" fillId="7" borderId="5" xfId="0" applyNumberFormat="1" applyFont="1" applyFill="1" applyBorder="1" applyAlignment="1">
      <alignment vertical="center"/>
    </xf>
    <xf numFmtId="3" fontId="27" fillId="7" borderId="11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/>
    </xf>
    <xf numFmtId="0" fontId="15" fillId="7" borderId="0" xfId="0" applyFont="1" applyFill="1" applyAlignment="1">
      <alignment vertical="center"/>
    </xf>
    <xf numFmtId="2" fontId="27" fillId="7" borderId="0" xfId="0" applyNumberFormat="1" applyFont="1" applyFill="1" applyAlignment="1">
      <alignment horizontal="center" vertical="center"/>
    </xf>
    <xf numFmtId="3" fontId="15" fillId="7" borderId="0" xfId="0" applyNumberFormat="1" applyFont="1" applyFill="1"/>
    <xf numFmtId="3" fontId="27" fillId="7" borderId="1" xfId="0" quotePrefix="1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4" fontId="27" fillId="7" borderId="1" xfId="0" applyNumberFormat="1" applyFont="1" applyFill="1" applyBorder="1" applyAlignment="1">
      <alignment horizontal="center" vertical="center"/>
    </xf>
    <xf numFmtId="172" fontId="27" fillId="7" borderId="1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vertical="center"/>
    </xf>
    <xf numFmtId="3" fontId="15" fillId="7" borderId="0" xfId="0" applyNumberFormat="1" applyFont="1" applyFill="1" applyAlignment="1">
      <alignment vertical="center"/>
    </xf>
    <xf numFmtId="168" fontId="15" fillId="7" borderId="0" xfId="0" applyNumberFormat="1" applyFont="1" applyFill="1" applyAlignment="1">
      <alignment vertical="center"/>
    </xf>
    <xf numFmtId="4" fontId="15" fillId="7" borderId="0" xfId="0" applyNumberFormat="1" applyFont="1" applyFill="1" applyAlignment="1">
      <alignment vertical="center"/>
    </xf>
    <xf numFmtId="0" fontId="29" fillId="7" borderId="0" xfId="0" applyFont="1" applyFill="1" applyAlignment="1">
      <alignment horizontal="center"/>
    </xf>
    <xf numFmtId="3" fontId="33" fillId="7" borderId="5" xfId="0" applyNumberFormat="1" applyFont="1" applyFill="1" applyBorder="1" applyAlignment="1">
      <alignment vertical="center"/>
    </xf>
    <xf numFmtId="168" fontId="15" fillId="7" borderId="0" xfId="0" applyNumberFormat="1" applyFont="1" applyFill="1"/>
    <xf numFmtId="0" fontId="15" fillId="3" borderId="0" xfId="0" applyFont="1" applyFill="1" applyAlignment="1">
      <alignment horizontal="center" vertical="center"/>
    </xf>
    <xf numFmtId="3" fontId="29" fillId="7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4" fontId="15" fillId="7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7" fillId="7" borderId="0" xfId="0" applyFont="1" applyFill="1" applyAlignment="1">
      <alignment horizontal="right" vertical="center"/>
    </xf>
    <xf numFmtId="0" fontId="27" fillId="7" borderId="0" xfId="0" applyFont="1" applyFill="1" applyAlignment="1">
      <alignment vertical="center"/>
    </xf>
    <xf numFmtId="0" fontId="34" fillId="7" borderId="0" xfId="0" applyFont="1" applyFill="1" applyAlignment="1">
      <alignment vertical="center"/>
    </xf>
    <xf numFmtId="3" fontId="13" fillId="7" borderId="0" xfId="0" applyNumberFormat="1" applyFont="1" applyFill="1" applyAlignment="1">
      <alignment horizontal="center" vertical="center"/>
    </xf>
    <xf numFmtId="0" fontId="35" fillId="7" borderId="0" xfId="0" applyFont="1" applyFill="1" applyAlignment="1">
      <alignment vertical="center"/>
    </xf>
    <xf numFmtId="0" fontId="31" fillId="7" borderId="0" xfId="0" applyFont="1" applyFill="1" applyAlignment="1">
      <alignment vertical="center"/>
    </xf>
    <xf numFmtId="0" fontId="27" fillId="7" borderId="0" xfId="0" applyFont="1" applyFill="1"/>
    <xf numFmtId="0" fontId="29" fillId="7" borderId="0" xfId="0" applyFont="1" applyFill="1"/>
    <xf numFmtId="0" fontId="15" fillId="0" borderId="4" xfId="0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165" fontId="13" fillId="0" borderId="7" xfId="0" quotePrefix="1" applyNumberFormat="1" applyFont="1" applyBorder="1" applyAlignment="1">
      <alignment horizontal="right" vertical="center"/>
    </xf>
    <xf numFmtId="165" fontId="15" fillId="0" borderId="7" xfId="0" applyNumberFormat="1" applyFont="1" applyBorder="1" applyAlignment="1">
      <alignment horizontal="right" vertical="center"/>
    </xf>
    <xf numFmtId="165" fontId="15" fillId="0" borderId="7" xfId="0" applyNumberFormat="1" applyFont="1" applyBorder="1" applyAlignment="1">
      <alignment horizontal="left" vertical="center"/>
    </xf>
    <xf numFmtId="4" fontId="34" fillId="7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165" fontId="15" fillId="0" borderId="7" xfId="0" quotePrefix="1" applyNumberFormat="1" applyFont="1" applyBorder="1" applyAlignment="1">
      <alignment horizontal="right" vertical="center"/>
    </xf>
    <xf numFmtId="165" fontId="15" fillId="0" borderId="7" xfId="0" quotePrefix="1" applyNumberFormat="1" applyFont="1" applyBorder="1" applyAlignment="1">
      <alignment horizontal="left" vertical="center"/>
    </xf>
    <xf numFmtId="165" fontId="15" fillId="7" borderId="0" xfId="0" applyNumberFormat="1" applyFont="1" applyFill="1" applyAlignment="1">
      <alignment vertical="center"/>
    </xf>
    <xf numFmtId="0" fontId="15" fillId="0" borderId="0" xfId="0" applyFont="1"/>
    <xf numFmtId="165" fontId="16" fillId="0" borderId="7" xfId="0" quotePrefix="1" applyNumberFormat="1" applyFont="1" applyBorder="1" applyAlignment="1">
      <alignment horizontal="right" vertical="center"/>
    </xf>
    <xf numFmtId="0" fontId="13" fillId="7" borderId="0" xfId="0" applyFont="1" applyFill="1" applyAlignment="1">
      <alignment vertical="center"/>
    </xf>
    <xf numFmtId="0" fontId="13" fillId="7" borderId="0" xfId="0" applyFont="1" applyFill="1" applyAlignment="1">
      <alignment horizontal="center" vertical="center"/>
    </xf>
    <xf numFmtId="2" fontId="34" fillId="7" borderId="0" xfId="0" applyNumberFormat="1" applyFont="1" applyFill="1" applyAlignment="1">
      <alignment vertical="center"/>
    </xf>
    <xf numFmtId="0" fontId="15" fillId="7" borderId="0" xfId="0" applyFont="1" applyFill="1" applyAlignment="1">
      <alignment horizontal="right"/>
    </xf>
    <xf numFmtId="0" fontId="15" fillId="7" borderId="0" xfId="0" quotePrefix="1" applyFont="1" applyFill="1" applyAlignment="1">
      <alignment horizontal="right"/>
    </xf>
    <xf numFmtId="4" fontId="15" fillId="7" borderId="0" xfId="0" quotePrefix="1" applyNumberFormat="1" applyFont="1" applyFill="1" applyAlignment="1">
      <alignment horizontal="right" vertical="center"/>
    </xf>
    <xf numFmtId="0" fontId="33" fillId="0" borderId="4" xfId="0" applyFont="1" applyBorder="1" applyAlignment="1">
      <alignment vertical="center"/>
    </xf>
    <xf numFmtId="165" fontId="28" fillId="0" borderId="7" xfId="0" quotePrefix="1" applyNumberFormat="1" applyFont="1" applyBorder="1" applyAlignment="1">
      <alignment horizontal="right" vertical="center"/>
    </xf>
    <xf numFmtId="0" fontId="32" fillId="7" borderId="0" xfId="0" applyFont="1" applyFill="1" applyAlignment="1">
      <alignment vertical="center"/>
    </xf>
    <xf numFmtId="0" fontId="37" fillId="7" borderId="0" xfId="0" applyFont="1" applyFill="1" applyAlignment="1">
      <alignment vertical="center"/>
    </xf>
    <xf numFmtId="0" fontId="9" fillId="0" borderId="4" xfId="0" quotePrefix="1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165" fontId="9" fillId="0" borderId="7" xfId="0" quotePrefix="1" applyNumberFormat="1" applyFont="1" applyBorder="1" applyAlignment="1">
      <alignment horizontal="right" vertical="center"/>
    </xf>
    <xf numFmtId="165" fontId="9" fillId="0" borderId="7" xfId="0" quotePrefix="1" applyNumberFormat="1" applyFont="1" applyBorder="1" applyAlignment="1">
      <alignment horizontal="left" vertical="center"/>
    </xf>
    <xf numFmtId="165" fontId="9" fillId="7" borderId="0" xfId="0" applyNumberFormat="1" applyFont="1" applyFill="1" applyAlignment="1">
      <alignment vertical="center"/>
    </xf>
    <xf numFmtId="4" fontId="9" fillId="7" borderId="0" xfId="0" applyNumberFormat="1" applyFont="1" applyFill="1"/>
    <xf numFmtId="0" fontId="9" fillId="0" borderId="0" xfId="0" applyFont="1"/>
    <xf numFmtId="165" fontId="15" fillId="0" borderId="11" xfId="0" quotePrefix="1" applyNumberFormat="1" applyFont="1" applyFill="1" applyBorder="1" applyAlignment="1">
      <alignment horizontal="left" vertical="center"/>
    </xf>
    <xf numFmtId="0" fontId="9" fillId="0" borderId="42" xfId="0" quotePrefix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10" fontId="9" fillId="7" borderId="0" xfId="0" applyNumberFormat="1" applyFont="1" applyFill="1"/>
    <xf numFmtId="0" fontId="39" fillId="7" borderId="0" xfId="0" applyFont="1" applyFill="1" applyAlignment="1">
      <alignment vertical="center"/>
    </xf>
    <xf numFmtId="0" fontId="24" fillId="7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4" fontId="24" fillId="7" borderId="5" xfId="0" applyNumberFormat="1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7" borderId="0" xfId="0" applyFont="1" applyFill="1" applyAlignment="1">
      <alignment horizontal="center"/>
    </xf>
    <xf numFmtId="0" fontId="31" fillId="7" borderId="0" xfId="0" applyFont="1" applyFill="1" applyAlignment="1">
      <alignment horizontal="right" vertical="center"/>
    </xf>
    <xf numFmtId="169" fontId="31" fillId="7" borderId="0" xfId="0" applyNumberFormat="1" applyFont="1" applyFill="1" applyAlignment="1">
      <alignment horizontal="right" vertical="center"/>
    </xf>
    <xf numFmtId="173" fontId="31" fillId="7" borderId="0" xfId="0" applyNumberFormat="1" applyFont="1" applyFill="1" applyAlignment="1">
      <alignment horizontal="center" vertical="center"/>
    </xf>
    <xf numFmtId="20" fontId="31" fillId="7" borderId="0" xfId="0" applyNumberFormat="1" applyFont="1" applyFill="1" applyAlignment="1">
      <alignment horizontal="center" vertical="center"/>
    </xf>
    <xf numFmtId="170" fontId="31" fillId="7" borderId="0" xfId="0" applyNumberFormat="1" applyFont="1" applyFill="1" applyAlignment="1">
      <alignment vertical="center"/>
    </xf>
    <xf numFmtId="171" fontId="31" fillId="7" borderId="0" xfId="0" applyNumberFormat="1" applyFont="1" applyFill="1" applyAlignment="1">
      <alignment vertical="center"/>
    </xf>
    <xf numFmtId="164" fontId="31" fillId="7" borderId="5" xfId="0" applyNumberFormat="1" applyFont="1" applyFill="1" applyBorder="1" applyAlignment="1">
      <alignment vertical="center"/>
    </xf>
    <xf numFmtId="1" fontId="31" fillId="7" borderId="5" xfId="0" applyNumberFormat="1" applyFont="1" applyFill="1" applyBorder="1" applyAlignment="1">
      <alignment vertical="center"/>
    </xf>
    <xf numFmtId="164" fontId="31" fillId="7" borderId="0" xfId="0" applyNumberFormat="1" applyFont="1" applyFill="1" applyAlignment="1">
      <alignment vertical="center"/>
    </xf>
    <xf numFmtId="165" fontId="36" fillId="7" borderId="0" xfId="0" applyNumberFormat="1" applyFont="1" applyFill="1" applyAlignment="1">
      <alignment vertical="center"/>
    </xf>
    <xf numFmtId="165" fontId="31" fillId="7" borderId="0" xfId="0" applyNumberFormat="1" applyFont="1" applyFill="1" applyAlignment="1">
      <alignment vertical="center"/>
    </xf>
    <xf numFmtId="164" fontId="13" fillId="7" borderId="0" xfId="0" applyNumberFormat="1" applyFont="1" applyFill="1" applyAlignment="1">
      <alignment vertical="center"/>
    </xf>
    <xf numFmtId="0" fontId="31" fillId="7" borderId="0" xfId="0" applyNumberFormat="1" applyFont="1" applyFill="1" applyAlignment="1">
      <alignment vertical="center"/>
    </xf>
    <xf numFmtId="168" fontId="31" fillId="7" borderId="0" xfId="0" applyNumberFormat="1" applyFont="1" applyFill="1" applyAlignment="1">
      <alignment vertical="center"/>
    </xf>
    <xf numFmtId="168" fontId="36" fillId="7" borderId="0" xfId="0" applyNumberFormat="1" applyFont="1" applyFill="1" applyAlignment="1">
      <alignment vertical="center"/>
    </xf>
    <xf numFmtId="4" fontId="31" fillId="7" borderId="0" xfId="0" applyNumberFormat="1" applyFont="1" applyFill="1" applyAlignment="1">
      <alignment vertical="center"/>
    </xf>
    <xf numFmtId="168" fontId="9" fillId="7" borderId="0" xfId="0" applyNumberFormat="1" applyFont="1" applyFill="1" applyAlignment="1">
      <alignment vertical="center"/>
    </xf>
    <xf numFmtId="0" fontId="31" fillId="3" borderId="0" xfId="0" applyFont="1" applyFill="1"/>
    <xf numFmtId="164" fontId="27" fillId="7" borderId="5" xfId="0" applyNumberFormat="1" applyFont="1" applyFill="1" applyBorder="1" applyAlignment="1">
      <alignment vertical="center"/>
    </xf>
    <xf numFmtId="3" fontId="27" fillId="7" borderId="5" xfId="0" applyNumberFormat="1" applyFont="1" applyFill="1" applyBorder="1" applyAlignment="1">
      <alignment vertical="center"/>
    </xf>
    <xf numFmtId="1" fontId="27" fillId="7" borderId="5" xfId="0" applyNumberFormat="1" applyFont="1" applyFill="1" applyBorder="1" applyAlignment="1">
      <alignment vertical="center"/>
    </xf>
    <xf numFmtId="1" fontId="31" fillId="7" borderId="0" xfId="0" applyNumberFormat="1" applyFont="1" applyFill="1" applyAlignment="1">
      <alignment vertical="center"/>
    </xf>
    <xf numFmtId="3" fontId="31" fillId="7" borderId="0" xfId="0" applyNumberFormat="1" applyFont="1" applyFill="1" applyAlignment="1">
      <alignment vertical="center"/>
    </xf>
    <xf numFmtId="0" fontId="31" fillId="7" borderId="0" xfId="0" applyFont="1" applyFill="1" applyAlignment="1">
      <alignment horizontal="center" vertical="center"/>
    </xf>
    <xf numFmtId="0" fontId="13" fillId="7" borderId="0" xfId="0" applyNumberFormat="1" applyFont="1" applyFill="1" applyAlignment="1">
      <alignment vertical="center"/>
    </xf>
    <xf numFmtId="169" fontId="31" fillId="7" borderId="0" xfId="0" applyNumberFormat="1" applyFont="1" applyFill="1" applyAlignment="1">
      <alignment vertical="center"/>
    </xf>
    <xf numFmtId="168" fontId="27" fillId="7" borderId="5" xfId="0" applyNumberFormat="1" applyFont="1" applyFill="1" applyBorder="1" applyAlignment="1">
      <alignment vertical="center"/>
    </xf>
    <xf numFmtId="0" fontId="24" fillId="7" borderId="0" xfId="0" applyFont="1" applyFill="1" applyAlignment="1">
      <alignment horizontal="right" vertical="center"/>
    </xf>
    <xf numFmtId="0" fontId="33" fillId="7" borderId="0" xfId="0" applyFont="1" applyFill="1" applyAlignment="1">
      <alignment horizontal="center" vertical="center"/>
    </xf>
    <xf numFmtId="169" fontId="33" fillId="7" borderId="0" xfId="0" applyNumberFormat="1" applyFont="1" applyFill="1" applyAlignment="1">
      <alignment vertical="center"/>
    </xf>
    <xf numFmtId="173" fontId="33" fillId="7" borderId="0" xfId="0" applyNumberFormat="1" applyFont="1" applyFill="1" applyAlignment="1">
      <alignment horizontal="center" vertical="center"/>
    </xf>
    <xf numFmtId="20" fontId="33" fillId="7" borderId="0" xfId="0" applyNumberFormat="1" applyFont="1" applyFill="1" applyAlignment="1">
      <alignment horizontal="center" vertical="center"/>
    </xf>
    <xf numFmtId="170" fontId="33" fillId="7" borderId="0" xfId="0" applyNumberFormat="1" applyFont="1" applyFill="1" applyAlignment="1">
      <alignment vertical="center"/>
    </xf>
    <xf numFmtId="171" fontId="33" fillId="7" borderId="0" xfId="0" applyNumberFormat="1" applyFont="1" applyFill="1" applyAlignment="1">
      <alignment vertical="center"/>
    </xf>
    <xf numFmtId="165" fontId="40" fillId="7" borderId="0" xfId="0" applyNumberFormat="1" applyFont="1" applyFill="1" applyAlignment="1">
      <alignment vertical="center"/>
    </xf>
    <xf numFmtId="165" fontId="33" fillId="7" borderId="0" xfId="0" applyNumberFormat="1" applyFont="1" applyFill="1" applyAlignment="1">
      <alignment vertical="center"/>
    </xf>
    <xf numFmtId="164" fontId="33" fillId="7" borderId="0" xfId="0" applyNumberFormat="1" applyFont="1" applyFill="1" applyAlignment="1">
      <alignment vertical="center"/>
    </xf>
    <xf numFmtId="3" fontId="33" fillId="7" borderId="0" xfId="0" applyNumberFormat="1" applyFont="1" applyFill="1" applyAlignment="1">
      <alignment vertical="center"/>
    </xf>
    <xf numFmtId="168" fontId="33" fillId="7" borderId="0" xfId="0" applyNumberFormat="1" applyFont="1" applyFill="1" applyAlignment="1">
      <alignment vertical="center"/>
    </xf>
    <xf numFmtId="168" fontId="40" fillId="7" borderId="0" xfId="0" applyNumberFormat="1" applyFont="1" applyFill="1" applyAlignment="1">
      <alignment vertical="center"/>
    </xf>
    <xf numFmtId="4" fontId="33" fillId="7" borderId="0" xfId="0" applyNumberFormat="1" applyFont="1" applyFill="1" applyAlignment="1">
      <alignment vertical="center"/>
    </xf>
    <xf numFmtId="0" fontId="33" fillId="3" borderId="0" xfId="0" applyFont="1" applyFill="1"/>
    <xf numFmtId="0" fontId="33" fillId="7" borderId="0" xfId="0" applyFont="1" applyFill="1"/>
    <xf numFmtId="0" fontId="24" fillId="7" borderId="0" xfId="0" applyFont="1" applyFill="1" applyAlignment="1">
      <alignment horizontal="center" vertical="center"/>
    </xf>
    <xf numFmtId="164" fontId="24" fillId="7" borderId="0" xfId="0" applyNumberFormat="1" applyFont="1" applyFill="1" applyAlignment="1">
      <alignment vertical="center"/>
    </xf>
    <xf numFmtId="165" fontId="33" fillId="7" borderId="5" xfId="0" applyNumberFormat="1" applyFont="1" applyFill="1" applyBorder="1" applyAlignment="1">
      <alignment vertical="center"/>
    </xf>
    <xf numFmtId="3" fontId="24" fillId="7" borderId="0" xfId="0" applyNumberFormat="1" applyFont="1" applyFill="1" applyAlignment="1">
      <alignment horizontal="center" vertical="center"/>
    </xf>
    <xf numFmtId="168" fontId="24" fillId="7" borderId="5" xfId="0" applyNumberFormat="1" applyFont="1" applyFill="1" applyBorder="1" applyAlignment="1">
      <alignment horizontal="right"/>
    </xf>
    <xf numFmtId="168" fontId="10" fillId="7" borderId="5" xfId="0" applyNumberFormat="1" applyFont="1" applyFill="1" applyBorder="1" applyAlignment="1">
      <alignment horizontal="right"/>
    </xf>
    <xf numFmtId="0" fontId="10" fillId="7" borderId="5" xfId="0" applyFont="1" applyFill="1" applyBorder="1" applyAlignment="1">
      <alignment horizontal="right"/>
    </xf>
    <xf numFmtId="4" fontId="24" fillId="7" borderId="5" xfId="0" applyNumberFormat="1" applyFont="1" applyFill="1" applyBorder="1" applyAlignment="1">
      <alignment horizontal="right"/>
    </xf>
    <xf numFmtId="0" fontId="13" fillId="7" borderId="0" xfId="0" applyNumberFormat="1" applyFont="1" applyFill="1"/>
    <xf numFmtId="0" fontId="33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31" fillId="7" borderId="0" xfId="0" applyFont="1" applyFill="1" applyAlignment="1">
      <alignment horizontal="center"/>
    </xf>
    <xf numFmtId="0" fontId="15" fillId="8" borderId="0" xfId="0" applyFont="1" applyFill="1"/>
    <xf numFmtId="168" fontId="15" fillId="8" borderId="0" xfId="0" applyNumberFormat="1" applyFont="1" applyFill="1"/>
    <xf numFmtId="168" fontId="33" fillId="8" borderId="0" xfId="0" applyNumberFormat="1" applyFont="1" applyFill="1"/>
    <xf numFmtId="168" fontId="31" fillId="8" borderId="0" xfId="0" applyNumberFormat="1" applyFont="1" applyFill="1"/>
    <xf numFmtId="3" fontId="24" fillId="7" borderId="5" xfId="0" applyNumberFormat="1" applyFont="1" applyFill="1" applyBorder="1" applyAlignment="1">
      <alignment vertical="center"/>
    </xf>
    <xf numFmtId="3" fontId="24" fillId="7" borderId="0" xfId="0" applyNumberFormat="1" applyFont="1" applyFill="1" applyAlignment="1">
      <alignment vertical="center"/>
    </xf>
    <xf numFmtId="168" fontId="33" fillId="7" borderId="0" xfId="0" applyNumberFormat="1" applyFont="1" applyFill="1"/>
    <xf numFmtId="168" fontId="13" fillId="7" borderId="0" xfId="0" applyNumberFormat="1" applyFont="1" applyFill="1"/>
    <xf numFmtId="168" fontId="31" fillId="7" borderId="0" xfId="0" applyNumberFormat="1" applyFont="1" applyFill="1"/>
    <xf numFmtId="3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5" fontId="16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5" fillId="4" borderId="0" xfId="0" applyFont="1" applyFill="1"/>
    <xf numFmtId="165" fontId="15" fillId="7" borderId="0" xfId="0" applyNumberFormat="1" applyFont="1" applyFill="1"/>
    <xf numFmtId="165" fontId="13" fillId="7" borderId="0" xfId="0" applyNumberFormat="1" applyFont="1" applyFill="1"/>
    <xf numFmtId="0" fontId="41" fillId="7" borderId="0" xfId="1" applyFont="1" applyFill="1" applyAlignment="1">
      <alignment horizontal="center"/>
    </xf>
    <xf numFmtId="0" fontId="42" fillId="7" borderId="5" xfId="0" applyFont="1" applyFill="1" applyBorder="1" applyAlignment="1">
      <alignment horizontal="center" vertical="center"/>
    </xf>
    <xf numFmtId="0" fontId="42" fillId="7" borderId="5" xfId="0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center" vertical="center"/>
    </xf>
    <xf numFmtId="0" fontId="44" fillId="7" borderId="5" xfId="0" applyFont="1" applyFill="1" applyBorder="1" applyAlignment="1">
      <alignment horizontal="center" vertical="center"/>
    </xf>
    <xf numFmtId="0" fontId="42" fillId="7" borderId="15" xfId="0" applyFont="1" applyFill="1" applyBorder="1" applyAlignment="1">
      <alignment horizontal="center" vertical="center"/>
    </xf>
    <xf numFmtId="0" fontId="42" fillId="7" borderId="0" xfId="0" applyFont="1" applyFill="1"/>
    <xf numFmtId="164" fontId="42" fillId="7" borderId="0" xfId="0" applyNumberFormat="1" applyFont="1" applyFill="1"/>
    <xf numFmtId="164" fontId="45" fillId="7" borderId="0" xfId="0" applyNumberFormat="1" applyFont="1" applyFill="1"/>
    <xf numFmtId="164" fontId="46" fillId="7" borderId="0" xfId="0" applyNumberFormat="1" applyFont="1" applyFill="1"/>
    <xf numFmtId="164" fontId="47" fillId="7" borderId="0" xfId="0" applyNumberFormat="1" applyFont="1" applyFill="1"/>
    <xf numFmtId="164" fontId="48" fillId="7" borderId="0" xfId="0" applyNumberFormat="1" applyFont="1" applyFill="1"/>
    <xf numFmtId="0" fontId="48" fillId="7" borderId="0" xfId="0" applyFont="1" applyFill="1"/>
    <xf numFmtId="0" fontId="42" fillId="0" borderId="4" xfId="0" applyFont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9" fillId="0" borderId="57" xfId="0" quotePrefix="1" applyFont="1" applyFill="1" applyBorder="1" applyAlignment="1">
      <alignment vertical="center"/>
    </xf>
    <xf numFmtId="0" fontId="42" fillId="0" borderId="4" xfId="0" applyFont="1" applyFill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13" fillId="7" borderId="0" xfId="0" applyNumberFormat="1" applyFont="1" applyFill="1" applyAlignment="1">
      <alignment horizontal="center" vertical="center"/>
    </xf>
    <xf numFmtId="0" fontId="15" fillId="0" borderId="7" xfId="0" applyNumberFormat="1" applyFont="1" applyBorder="1" applyAlignment="1">
      <alignment horizontal="right" vertical="center"/>
    </xf>
    <xf numFmtId="0" fontId="15" fillId="0" borderId="7" xfId="0" quotePrefix="1" applyNumberFormat="1" applyFont="1" applyBorder="1" applyAlignment="1">
      <alignment horizontal="right" vertical="center"/>
    </xf>
    <xf numFmtId="0" fontId="9" fillId="0" borderId="7" xfId="0" quotePrefix="1" applyNumberFormat="1" applyFont="1" applyBorder="1" applyAlignment="1">
      <alignment horizontal="right" vertical="center"/>
    </xf>
    <xf numFmtId="0" fontId="15" fillId="0" borderId="0" xfId="0" applyNumberFormat="1" applyFont="1" applyAlignment="1">
      <alignment horizontal="right"/>
    </xf>
    <xf numFmtId="165" fontId="28" fillId="0" borderId="11" xfId="0" quotePrefix="1" applyNumberFormat="1" applyFont="1" applyBorder="1" applyAlignment="1">
      <alignment horizontal="right" vertical="center"/>
    </xf>
    <xf numFmtId="165" fontId="9" fillId="0" borderId="11" xfId="0" quotePrefix="1" applyNumberFormat="1" applyFont="1" applyBorder="1" applyAlignment="1">
      <alignment horizontal="right" vertical="center"/>
    </xf>
    <xf numFmtId="0" fontId="9" fillId="0" borderId="11" xfId="0" quotePrefix="1" applyNumberFormat="1" applyFont="1" applyBorder="1" applyAlignment="1">
      <alignment horizontal="right" vertical="center"/>
    </xf>
    <xf numFmtId="3" fontId="31" fillId="7" borderId="52" xfId="0" applyNumberFormat="1" applyFont="1" applyFill="1" applyBorder="1" applyAlignment="1">
      <alignment vertical="center"/>
    </xf>
    <xf numFmtId="3" fontId="33" fillId="7" borderId="52" xfId="0" applyNumberFormat="1" applyFont="1" applyFill="1" applyBorder="1" applyAlignment="1">
      <alignment vertical="center"/>
    </xf>
    <xf numFmtId="0" fontId="31" fillId="7" borderId="53" xfId="0" applyFont="1" applyFill="1" applyBorder="1" applyAlignment="1">
      <alignment horizontal="center" vertical="center"/>
    </xf>
    <xf numFmtId="0" fontId="33" fillId="7" borderId="53" xfId="0" applyFont="1" applyFill="1" applyBorder="1" applyAlignment="1">
      <alignment horizontal="center" vertical="center"/>
    </xf>
    <xf numFmtId="4" fontId="31" fillId="7" borderId="52" xfId="0" applyNumberFormat="1" applyFont="1" applyFill="1" applyBorder="1" applyAlignment="1">
      <alignment vertical="center"/>
    </xf>
    <xf numFmtId="4" fontId="33" fillId="7" borderId="52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3" fontId="24" fillId="7" borderId="5" xfId="0" applyNumberFormat="1" applyFont="1" applyFill="1" applyBorder="1"/>
    <xf numFmtId="1" fontId="33" fillId="9" borderId="5" xfId="0" applyNumberFormat="1" applyFont="1" applyFill="1" applyBorder="1" applyAlignment="1">
      <alignment vertical="center"/>
    </xf>
    <xf numFmtId="0" fontId="15" fillId="10" borderId="0" xfId="0" applyFont="1" applyFill="1"/>
    <xf numFmtId="4" fontId="19" fillId="10" borderId="0" xfId="0" applyNumberFormat="1" applyFont="1" applyFill="1" applyAlignment="1">
      <alignment horizontal="center" vertical="center" wrapText="1"/>
    </xf>
    <xf numFmtId="4" fontId="19" fillId="10" borderId="0" xfId="0" applyNumberFormat="1" applyFont="1" applyFill="1" applyAlignment="1">
      <alignment horizontal="center" vertical="center"/>
    </xf>
    <xf numFmtId="0" fontId="26" fillId="10" borderId="0" xfId="0" applyFont="1" applyFill="1"/>
    <xf numFmtId="4" fontId="16" fillId="10" borderId="0" xfId="0" quotePrefix="1" applyNumberFormat="1" applyFont="1" applyFill="1" applyAlignment="1">
      <alignment horizontal="center" vertical="center" wrapText="1"/>
    </xf>
    <xf numFmtId="165" fontId="25" fillId="10" borderId="31" xfId="0" applyNumberFormat="1" applyFont="1" applyFill="1" applyBorder="1" applyAlignment="1">
      <alignment horizontal="center" vertical="center" wrapText="1"/>
    </xf>
    <xf numFmtId="165" fontId="25" fillId="10" borderId="33" xfId="0" applyNumberFormat="1" applyFont="1" applyFill="1" applyBorder="1" applyAlignment="1">
      <alignment horizontal="center" vertical="center" wrapText="1"/>
    </xf>
    <xf numFmtId="0" fontId="15" fillId="10" borderId="0" xfId="0" applyFont="1" applyFill="1" applyAlignment="1">
      <alignment vertical="center"/>
    </xf>
    <xf numFmtId="0" fontId="8" fillId="10" borderId="0" xfId="0" applyFont="1" applyFill="1" applyAlignment="1">
      <alignment horizontal="left" wrapText="1"/>
    </xf>
    <xf numFmtId="4" fontId="54" fillId="10" borderId="32" xfId="0" applyNumberFormat="1" applyFont="1" applyFill="1" applyBorder="1" applyAlignment="1">
      <alignment horizontal="center" vertical="center"/>
    </xf>
    <xf numFmtId="0" fontId="29" fillId="10" borderId="47" xfId="0" applyFont="1" applyFill="1" applyBorder="1" applyAlignment="1"/>
    <xf numFmtId="0" fontId="15" fillId="10" borderId="0" xfId="0" applyFont="1" applyFill="1" applyAlignment="1">
      <alignment horizontal="center" vertical="center"/>
    </xf>
    <xf numFmtId="0" fontId="34" fillId="10" borderId="0" xfId="0" applyFont="1" applyFill="1" applyAlignment="1">
      <alignment vertical="center"/>
    </xf>
    <xf numFmtId="0" fontId="9" fillId="10" borderId="0" xfId="0" applyFont="1" applyFill="1"/>
    <xf numFmtId="0" fontId="10" fillId="10" borderId="0" xfId="0" applyFont="1" applyFill="1"/>
    <xf numFmtId="3" fontId="13" fillId="10" borderId="0" xfId="0" applyNumberFormat="1" applyFont="1" applyFill="1" applyAlignment="1">
      <alignment horizontal="center"/>
    </xf>
    <xf numFmtId="3" fontId="24" fillId="10" borderId="0" xfId="0" applyNumberFormat="1" applyFont="1" applyFill="1" applyAlignment="1">
      <alignment horizontal="center"/>
    </xf>
    <xf numFmtId="14" fontId="31" fillId="10" borderId="0" xfId="0" applyNumberFormat="1" applyFont="1" applyFill="1" applyAlignment="1">
      <alignment horizontal="center"/>
    </xf>
    <xf numFmtId="14" fontId="33" fillId="10" borderId="0" xfId="0" applyNumberFormat="1" applyFont="1" applyFill="1" applyAlignment="1">
      <alignment horizontal="center"/>
    </xf>
    <xf numFmtId="0" fontId="33" fillId="10" borderId="0" xfId="0" applyFont="1" applyFill="1"/>
    <xf numFmtId="4" fontId="16" fillId="10" borderId="0" xfId="0" applyNumberFormat="1" applyFont="1" applyFill="1" applyAlignment="1">
      <alignment horizontal="center" vertical="center"/>
    </xf>
    <xf numFmtId="0" fontId="27" fillId="10" borderId="0" xfId="0" applyFont="1" applyFill="1" applyAlignment="1">
      <alignment horizontal="center"/>
    </xf>
    <xf numFmtId="165" fontId="16" fillId="10" borderId="0" xfId="0" applyNumberFormat="1" applyFont="1" applyFill="1" applyAlignment="1">
      <alignment horizontal="right"/>
    </xf>
    <xf numFmtId="165" fontId="15" fillId="10" borderId="0" xfId="0" applyNumberFormat="1" applyFont="1" applyFill="1" applyAlignment="1">
      <alignment horizontal="right"/>
    </xf>
    <xf numFmtId="0" fontId="15" fillId="10" borderId="0" xfId="0" applyNumberFormat="1" applyFont="1" applyFill="1" applyAlignment="1">
      <alignment horizontal="right"/>
    </xf>
    <xf numFmtId="0" fontId="24" fillId="10" borderId="0" xfId="0" applyFont="1" applyFill="1" applyAlignment="1">
      <alignment horizontal="center"/>
    </xf>
    <xf numFmtId="0" fontId="31" fillId="10" borderId="0" xfId="0" applyFont="1" applyFill="1"/>
    <xf numFmtId="165" fontId="29" fillId="10" borderId="0" xfId="0" applyNumberFormat="1" applyFont="1" applyFill="1" applyAlignment="1">
      <alignment horizontal="center" vertical="center" wrapText="1"/>
    </xf>
    <xf numFmtId="165" fontId="15" fillId="10" borderId="0" xfId="0" applyNumberFormat="1" applyFont="1" applyFill="1" applyAlignment="1">
      <alignment horizontal="center"/>
    </xf>
    <xf numFmtId="165" fontId="15" fillId="10" borderId="0" xfId="0" applyNumberFormat="1" applyFont="1" applyFill="1" applyAlignment="1">
      <alignment horizontal="center" vertical="center"/>
    </xf>
    <xf numFmtId="0" fontId="15" fillId="10" borderId="0" xfId="0" applyNumberFormat="1" applyFont="1" applyFill="1" applyAlignment="1">
      <alignment horizontal="center" vertical="center"/>
    </xf>
    <xf numFmtId="0" fontId="15" fillId="10" borderId="0" xfId="0" applyFont="1" applyFill="1" applyAlignment="1">
      <alignment horizontal="center"/>
    </xf>
    <xf numFmtId="164" fontId="15" fillId="10" borderId="0" xfId="0" applyNumberFormat="1" applyFont="1" applyFill="1" applyAlignment="1">
      <alignment horizontal="center"/>
    </xf>
    <xf numFmtId="165" fontId="15" fillId="10" borderId="0" xfId="0" applyNumberFormat="1" applyFont="1" applyFill="1" applyAlignment="1">
      <alignment horizontal="left"/>
    </xf>
    <xf numFmtId="3" fontId="16" fillId="10" borderId="0" xfId="0" applyNumberFormat="1" applyFont="1" applyFill="1" applyAlignment="1">
      <alignment horizontal="center" vertical="center"/>
    </xf>
    <xf numFmtId="164" fontId="29" fillId="10" borderId="0" xfId="0" applyNumberFormat="1" applyFont="1" applyFill="1" applyAlignment="1">
      <alignment vertical="center"/>
    </xf>
    <xf numFmtId="164" fontId="15" fillId="10" borderId="0" xfId="0" applyNumberFormat="1" applyFont="1" applyFill="1" applyAlignment="1">
      <alignment horizontal="center" vertical="center"/>
    </xf>
    <xf numFmtId="165" fontId="16" fillId="10" borderId="0" xfId="0" applyNumberFormat="1" applyFont="1" applyFill="1" applyAlignment="1">
      <alignment horizontal="right" vertical="center"/>
    </xf>
    <xf numFmtId="165" fontId="29" fillId="10" borderId="0" xfId="0" applyNumberFormat="1" applyFont="1" applyFill="1" applyAlignment="1">
      <alignment horizontal="right" vertical="center"/>
    </xf>
    <xf numFmtId="0" fontId="29" fillId="10" borderId="0" xfId="0" applyNumberFormat="1" applyFont="1" applyFill="1" applyAlignment="1">
      <alignment horizontal="right" vertical="center"/>
    </xf>
    <xf numFmtId="165" fontId="8" fillId="10" borderId="0" xfId="0" applyNumberFormat="1" applyFont="1" applyFill="1" applyAlignment="1">
      <alignment horizontal="right"/>
    </xf>
    <xf numFmtId="165" fontId="9" fillId="10" borderId="0" xfId="0" applyNumberFormat="1" applyFont="1" applyFill="1" applyAlignment="1">
      <alignment horizontal="right"/>
    </xf>
    <xf numFmtId="0" fontId="9" fillId="10" borderId="0" xfId="0" applyNumberFormat="1" applyFont="1" applyFill="1" applyAlignment="1">
      <alignment horizontal="right"/>
    </xf>
    <xf numFmtId="165" fontId="15" fillId="10" borderId="0" xfId="0" applyNumberFormat="1" applyFont="1" applyFill="1"/>
    <xf numFmtId="166" fontId="15" fillId="10" borderId="0" xfId="0" applyNumberFormat="1" applyFont="1" applyFill="1"/>
    <xf numFmtId="0" fontId="15" fillId="10" borderId="0" xfId="0" applyNumberFormat="1" applyFont="1" applyFill="1"/>
    <xf numFmtId="167" fontId="15" fillId="10" borderId="0" xfId="0" applyNumberFormat="1" applyFont="1" applyFill="1"/>
    <xf numFmtId="0" fontId="24" fillId="10" borderId="0" xfId="0" applyNumberFormat="1" applyFont="1" applyFill="1" applyAlignment="1">
      <alignment horizontal="center"/>
    </xf>
    <xf numFmtId="0" fontId="31" fillId="10" borderId="0" xfId="0" applyNumberFormat="1" applyFont="1" applyFill="1"/>
    <xf numFmtId="167" fontId="31" fillId="10" borderId="0" xfId="0" applyNumberFormat="1" applyFont="1" applyFill="1"/>
    <xf numFmtId="0" fontId="33" fillId="10" borderId="0" xfId="0" applyNumberFormat="1" applyFont="1" applyFill="1"/>
    <xf numFmtId="0" fontId="33" fillId="10" borderId="0" xfId="0" applyFont="1" applyFill="1" applyAlignment="1">
      <alignment horizontal="center"/>
    </xf>
    <xf numFmtId="3" fontId="13" fillId="10" borderId="0" xfId="0" applyNumberFormat="1" applyFont="1" applyFill="1" applyAlignment="1">
      <alignment horizontal="left"/>
    </xf>
    <xf numFmtId="164" fontId="16" fillId="10" borderId="0" xfId="0" applyNumberFormat="1" applyFont="1" applyFill="1" applyAlignment="1">
      <alignment horizontal="right"/>
    </xf>
    <xf numFmtId="3" fontId="24" fillId="10" borderId="0" xfId="0" applyNumberFormat="1" applyFont="1" applyFill="1" applyAlignment="1">
      <alignment horizontal="left"/>
    </xf>
    <xf numFmtId="164" fontId="27" fillId="10" borderId="0" xfId="0" applyNumberFormat="1" applyFont="1" applyFill="1" applyAlignment="1">
      <alignment horizontal="right"/>
    </xf>
    <xf numFmtId="164" fontId="31" fillId="10" borderId="0" xfId="0" applyNumberFormat="1" applyFont="1" applyFill="1" applyAlignment="1">
      <alignment horizontal="right"/>
    </xf>
    <xf numFmtId="164" fontId="31" fillId="10" borderId="0" xfId="0" applyNumberFormat="1" applyFont="1" applyFill="1"/>
    <xf numFmtId="164" fontId="38" fillId="10" borderId="0" xfId="0" applyNumberFormat="1" applyFont="1" applyFill="1" applyAlignment="1">
      <alignment horizontal="right"/>
    </xf>
    <xf numFmtId="3" fontId="33" fillId="10" borderId="0" xfId="0" applyNumberFormat="1" applyFont="1" applyFill="1" applyAlignment="1">
      <alignment horizontal="center"/>
    </xf>
    <xf numFmtId="3" fontId="13" fillId="10" borderId="1" xfId="0" applyNumberFormat="1" applyFont="1" applyFill="1" applyBorder="1" applyAlignment="1">
      <alignment horizontal="center"/>
    </xf>
    <xf numFmtId="0" fontId="29" fillId="11" borderId="2" xfId="0" applyFont="1" applyFill="1" applyBorder="1" applyAlignment="1">
      <alignment horizontal="center" vertical="center" wrapText="1"/>
    </xf>
    <xf numFmtId="0" fontId="24" fillId="11" borderId="43" xfId="0" applyFont="1" applyFill="1" applyBorder="1" applyAlignment="1">
      <alignment horizontal="center" vertical="center" wrapText="1"/>
    </xf>
    <xf numFmtId="0" fontId="15" fillId="11" borderId="30" xfId="0" applyFont="1" applyFill="1" applyBorder="1" applyAlignment="1">
      <alignment horizontal="center"/>
    </xf>
    <xf numFmtId="0" fontId="15" fillId="11" borderId="50" xfId="0" applyFont="1" applyFill="1" applyBorder="1" applyAlignment="1">
      <alignment horizontal="center"/>
    </xf>
    <xf numFmtId="0" fontId="24" fillId="11" borderId="5" xfId="0" applyFont="1" applyFill="1" applyBorder="1" applyAlignment="1">
      <alignment horizontal="right" vertical="center"/>
    </xf>
    <xf numFmtId="0" fontId="11" fillId="11" borderId="5" xfId="0" applyFont="1" applyFill="1" applyBorder="1" applyAlignment="1">
      <alignment horizontal="center" vertical="center"/>
    </xf>
    <xf numFmtId="0" fontId="11" fillId="11" borderId="29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 wrapText="1"/>
    </xf>
    <xf numFmtId="165" fontId="16" fillId="11" borderId="7" xfId="0" applyNumberFormat="1" applyFont="1" applyFill="1" applyBorder="1" applyAlignment="1">
      <alignment horizontal="center" vertical="center" wrapText="1"/>
    </xf>
    <xf numFmtId="165" fontId="29" fillId="11" borderId="7" xfId="0" applyNumberFormat="1" applyFont="1" applyFill="1" applyBorder="1" applyAlignment="1">
      <alignment horizontal="center" vertical="center" wrapText="1"/>
    </xf>
    <xf numFmtId="0" fontId="29" fillId="11" borderId="7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vertical="center"/>
    </xf>
    <xf numFmtId="0" fontId="10" fillId="11" borderId="5" xfId="0" applyFont="1" applyFill="1" applyBorder="1" applyAlignment="1">
      <alignment horizontal="right" vertical="center"/>
    </xf>
    <xf numFmtId="164" fontId="29" fillId="11" borderId="27" xfId="0" applyNumberFormat="1" applyFont="1" applyFill="1" applyBorder="1" applyAlignment="1">
      <alignment vertical="center"/>
    </xf>
    <xf numFmtId="164" fontId="29" fillId="11" borderId="27" xfId="0" applyNumberFormat="1" applyFont="1" applyFill="1" applyBorder="1" applyAlignment="1">
      <alignment horizontal="center" vertical="center"/>
    </xf>
    <xf numFmtId="164" fontId="29" fillId="11" borderId="44" xfId="0" applyNumberFormat="1" applyFont="1" applyFill="1" applyBorder="1" applyAlignment="1">
      <alignment horizontal="center" vertical="center"/>
    </xf>
    <xf numFmtId="0" fontId="29" fillId="11" borderId="1" xfId="0" applyNumberFormat="1" applyFont="1" applyFill="1" applyBorder="1" applyAlignment="1">
      <alignment horizontal="right" vertical="center"/>
    </xf>
    <xf numFmtId="164" fontId="29" fillId="11" borderId="54" xfId="0" applyNumberFormat="1" applyFont="1" applyFill="1" applyBorder="1" applyAlignment="1">
      <alignment horizontal="left" vertical="center"/>
    </xf>
    <xf numFmtId="164" fontId="29" fillId="11" borderId="13" xfId="0" applyNumberFormat="1" applyFont="1" applyFill="1" applyBorder="1" applyAlignment="1">
      <alignment horizontal="left" vertical="center"/>
    </xf>
    <xf numFmtId="164" fontId="13" fillId="11" borderId="13" xfId="0" applyNumberFormat="1" applyFont="1" applyFill="1" applyBorder="1" applyAlignment="1">
      <alignment horizontal="center" vertical="center"/>
    </xf>
    <xf numFmtId="164" fontId="33" fillId="11" borderId="5" xfId="0" applyNumberFormat="1" applyFont="1" applyFill="1" applyBorder="1" applyAlignment="1">
      <alignment horizontal="center" vertical="center"/>
    </xf>
    <xf numFmtId="164" fontId="13" fillId="11" borderId="14" xfId="0" applyNumberFormat="1" applyFont="1" applyFill="1" applyBorder="1" applyAlignment="1">
      <alignment horizontal="center" vertical="center"/>
    </xf>
    <xf numFmtId="164" fontId="29" fillId="11" borderId="55" xfId="0" applyNumberFormat="1" applyFont="1" applyFill="1" applyBorder="1" applyAlignment="1">
      <alignment horizontal="left" vertical="center"/>
    </xf>
    <xf numFmtId="164" fontId="29" fillId="11" borderId="5" xfId="0" applyNumberFormat="1" applyFont="1" applyFill="1" applyBorder="1" applyAlignment="1">
      <alignment horizontal="left" vertical="center"/>
    </xf>
    <xf numFmtId="164" fontId="13" fillId="11" borderId="5" xfId="0" applyNumberFormat="1" applyFont="1" applyFill="1" applyBorder="1" applyAlignment="1">
      <alignment horizontal="center" vertical="center"/>
    </xf>
    <xf numFmtId="164" fontId="13" fillId="11" borderId="29" xfId="0" applyNumberFormat="1" applyFont="1" applyFill="1" applyBorder="1" applyAlignment="1">
      <alignment horizontal="center" vertical="center"/>
    </xf>
    <xf numFmtId="164" fontId="29" fillId="11" borderId="56" xfId="0" applyNumberFormat="1" applyFont="1" applyFill="1" applyBorder="1" applyAlignment="1">
      <alignment horizontal="left" vertical="center"/>
    </xf>
    <xf numFmtId="164" fontId="29" fillId="11" borderId="10" xfId="0" applyNumberFormat="1" applyFont="1" applyFill="1" applyBorder="1" applyAlignment="1">
      <alignment horizontal="left" vertical="center"/>
    </xf>
    <xf numFmtId="164" fontId="13" fillId="11" borderId="10" xfId="0" applyNumberFormat="1" applyFont="1" applyFill="1" applyBorder="1" applyAlignment="1">
      <alignment horizontal="center" vertical="center"/>
    </xf>
    <xf numFmtId="164" fontId="33" fillId="11" borderId="16" xfId="0" applyNumberFormat="1" applyFont="1" applyFill="1" applyBorder="1" applyAlignment="1">
      <alignment horizontal="center" vertical="center"/>
    </xf>
    <xf numFmtId="164" fontId="11" fillId="11" borderId="19" xfId="0" applyNumberFormat="1" applyFont="1" applyFill="1" applyBorder="1" applyAlignment="1">
      <alignment vertical="center"/>
    </xf>
    <xf numFmtId="164" fontId="11" fillId="11" borderId="21" xfId="0" applyNumberFormat="1" applyFont="1" applyFill="1" applyBorder="1" applyAlignment="1">
      <alignment vertical="center"/>
    </xf>
    <xf numFmtId="164" fontId="11" fillId="11" borderId="22" xfId="0" applyNumberFormat="1" applyFont="1" applyFill="1" applyBorder="1" applyAlignment="1">
      <alignment vertical="center"/>
    </xf>
    <xf numFmtId="164" fontId="9" fillId="11" borderId="10" xfId="0" applyNumberFormat="1" applyFont="1" applyFill="1" applyBorder="1" applyAlignment="1">
      <alignment horizontal="center" vertical="center"/>
    </xf>
    <xf numFmtId="164" fontId="9" fillId="11" borderId="16" xfId="0" applyNumberFormat="1" applyFont="1" applyFill="1" applyBorder="1" applyAlignment="1">
      <alignment horizontal="center" vertical="center"/>
    </xf>
    <xf numFmtId="164" fontId="9" fillId="11" borderId="13" xfId="0" applyNumberFormat="1" applyFont="1" applyFill="1" applyBorder="1" applyAlignment="1">
      <alignment horizontal="center" vertical="center"/>
    </xf>
    <xf numFmtId="164" fontId="9" fillId="11" borderId="14" xfId="0" applyNumberFormat="1" applyFont="1" applyFill="1" applyBorder="1" applyAlignment="1">
      <alignment horizontal="center" vertical="center"/>
    </xf>
    <xf numFmtId="0" fontId="56" fillId="10" borderId="0" xfId="0" applyFont="1" applyFill="1" applyAlignment="1">
      <alignment horizontal="center"/>
    </xf>
    <xf numFmtId="0" fontId="57" fillId="10" borderId="0" xfId="0" applyFont="1" applyFill="1" applyAlignment="1">
      <alignment horizontal="center"/>
    </xf>
    <xf numFmtId="0" fontId="38" fillId="10" borderId="0" xfId="0" applyFont="1" applyFill="1" applyAlignment="1">
      <alignment horizontal="center"/>
    </xf>
    <xf numFmtId="0" fontId="16" fillId="10" borderId="0" xfId="0" applyFont="1" applyFill="1" applyAlignment="1">
      <alignment horizontal="center"/>
    </xf>
    <xf numFmtId="174" fontId="58" fillId="10" borderId="0" xfId="0" applyNumberFormat="1" applyFont="1" applyFill="1" applyAlignment="1">
      <alignment horizontal="left"/>
    </xf>
    <xf numFmtId="174" fontId="59" fillId="10" borderId="0" xfId="0" applyNumberFormat="1" applyFont="1" applyFill="1" applyAlignment="1">
      <alignment horizontal="left"/>
    </xf>
    <xf numFmtId="164" fontId="27" fillId="7" borderId="0" xfId="0" applyNumberFormat="1" applyFont="1" applyFill="1" applyAlignment="1">
      <alignment horizontal="left" vertical="center"/>
    </xf>
    <xf numFmtId="164" fontId="24" fillId="7" borderId="0" xfId="0" applyNumberFormat="1" applyFont="1" applyFill="1" applyAlignment="1">
      <alignment horizontal="left" vertical="center"/>
    </xf>
    <xf numFmtId="3" fontId="13" fillId="7" borderId="0" xfId="0" applyNumberFormat="1" applyFont="1" applyFill="1" applyAlignment="1">
      <alignment horizontal="center"/>
    </xf>
    <xf numFmtId="165" fontId="16" fillId="7" borderId="0" xfId="0" applyNumberFormat="1" applyFont="1" applyFill="1" applyAlignment="1">
      <alignment horizontal="right"/>
    </xf>
    <xf numFmtId="165" fontId="15" fillId="7" borderId="0" xfId="0" applyNumberFormat="1" applyFont="1" applyFill="1" applyAlignment="1">
      <alignment horizontal="right"/>
    </xf>
    <xf numFmtId="0" fontId="15" fillId="7" borderId="0" xfId="0" applyNumberFormat="1" applyFont="1" applyFill="1" applyAlignment="1">
      <alignment horizontal="right"/>
    </xf>
    <xf numFmtId="3" fontId="60" fillId="7" borderId="0" xfId="0" applyNumberFormat="1" applyFont="1" applyFill="1" applyAlignment="1">
      <alignment horizontal="center" vertical="center"/>
    </xf>
    <xf numFmtId="0" fontId="24" fillId="11" borderId="2" xfId="0" applyFont="1" applyFill="1" applyBorder="1" applyAlignment="1">
      <alignment horizontal="center" vertical="center" wrapText="1"/>
    </xf>
    <xf numFmtId="0" fontId="29" fillId="10" borderId="46" xfId="0" applyFont="1" applyFill="1" applyBorder="1" applyAlignment="1">
      <alignment horizontal="center"/>
    </xf>
    <xf numFmtId="165" fontId="15" fillId="0" borderId="7" xfId="0" quotePrefix="1" applyNumberFormat="1" applyFont="1" applyFill="1" applyBorder="1" applyAlignment="1">
      <alignment horizontal="right" vertical="center"/>
    </xf>
    <xf numFmtId="165" fontId="9" fillId="0" borderId="7" xfId="0" applyNumberFormat="1" applyFont="1" applyBorder="1" applyAlignment="1">
      <alignment horizontal="right" vertical="center"/>
    </xf>
    <xf numFmtId="165" fontId="9" fillId="0" borderId="7" xfId="0" applyNumberFormat="1" applyFont="1" applyFill="1" applyBorder="1" applyAlignment="1">
      <alignment horizontal="right" vertical="center"/>
    </xf>
    <xf numFmtId="165" fontId="9" fillId="0" borderId="7" xfId="0" quotePrefix="1" applyNumberFormat="1" applyFont="1" applyFill="1" applyBorder="1" applyAlignment="1">
      <alignment horizontal="right" vertical="center"/>
    </xf>
    <xf numFmtId="165" fontId="9" fillId="0" borderId="7" xfId="0" applyNumberFormat="1" applyFont="1" applyBorder="1" applyAlignment="1">
      <alignment horizontal="left" vertical="center"/>
    </xf>
    <xf numFmtId="164" fontId="29" fillId="11" borderId="4" xfId="0" applyNumberFormat="1" applyFont="1" applyFill="1" applyBorder="1" applyAlignment="1">
      <alignment horizontal="center" vertical="center" wrapText="1"/>
    </xf>
    <xf numFmtId="164" fontId="29" fillId="11" borderId="5" xfId="0" applyNumberFormat="1" applyFont="1" applyFill="1" applyBorder="1" applyAlignment="1">
      <alignment horizontal="center" vertical="center" wrapText="1"/>
    </xf>
    <xf numFmtId="164" fontId="29" fillId="11" borderId="6" xfId="0" applyNumberFormat="1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/>
    </xf>
    <xf numFmtId="0" fontId="9" fillId="0" borderId="57" xfId="0" quotePrefix="1" applyFont="1" applyBorder="1" applyAlignment="1">
      <alignment vertical="center"/>
    </xf>
    <xf numFmtId="0" fontId="62" fillId="10" borderId="0" xfId="0" applyFont="1" applyFill="1" applyAlignment="1">
      <alignment horizontal="center"/>
    </xf>
    <xf numFmtId="3" fontId="31" fillId="7" borderId="0" xfId="0" applyNumberFormat="1" applyFont="1" applyFill="1" applyBorder="1" applyAlignment="1">
      <alignment vertical="center"/>
    </xf>
    <xf numFmtId="3" fontId="27" fillId="7" borderId="0" xfId="0" applyNumberFormat="1" applyFont="1" applyFill="1" applyBorder="1" applyAlignment="1">
      <alignment vertical="center"/>
    </xf>
    <xf numFmtId="164" fontId="33" fillId="7" borderId="5" xfId="0" applyNumberFormat="1" applyFont="1" applyFill="1" applyBorder="1" applyAlignment="1">
      <alignment vertical="center"/>
    </xf>
    <xf numFmtId="3" fontId="13" fillId="7" borderId="0" xfId="0" applyNumberFormat="1" applyFont="1" applyFill="1"/>
    <xf numFmtId="0" fontId="40" fillId="7" borderId="0" xfId="0" applyFont="1" applyFill="1"/>
    <xf numFmtId="0" fontId="31" fillId="7" borderId="0" xfId="0" applyFont="1" applyFill="1"/>
    <xf numFmtId="0" fontId="36" fillId="7" borderId="0" xfId="0" applyFont="1" applyFill="1"/>
    <xf numFmtId="164" fontId="15" fillId="7" borderId="0" xfId="0" applyNumberFormat="1" applyFont="1" applyFill="1"/>
    <xf numFmtId="164" fontId="62" fillId="10" borderId="0" xfId="0" applyNumberFormat="1" applyFont="1" applyFill="1"/>
    <xf numFmtId="164" fontId="56" fillId="10" borderId="0" xfId="0" applyNumberFormat="1" applyFont="1" applyFill="1"/>
    <xf numFmtId="164" fontId="57" fillId="10" borderId="0" xfId="0" applyNumberFormat="1" applyFont="1" applyFill="1"/>
    <xf numFmtId="3" fontId="27" fillId="10" borderId="0" xfId="0" applyNumberFormat="1" applyFont="1" applyFill="1" applyAlignment="1">
      <alignment horizontal="right"/>
    </xf>
    <xf numFmtId="3" fontId="38" fillId="10" borderId="0" xfId="0" applyNumberFormat="1" applyFont="1" applyFill="1" applyAlignment="1">
      <alignment horizontal="right"/>
    </xf>
    <xf numFmtId="0" fontId="63" fillId="0" borderId="5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center" vertical="center"/>
    </xf>
    <xf numFmtId="164" fontId="11" fillId="11" borderId="12" xfId="0" applyNumberFormat="1" applyFont="1" applyFill="1" applyBorder="1" applyAlignment="1">
      <alignment vertical="center"/>
    </xf>
    <xf numFmtId="164" fontId="11" fillId="11" borderId="59" xfId="0" applyNumberFormat="1" applyFont="1" applyFill="1" applyBorder="1" applyAlignment="1">
      <alignment vertical="center"/>
    </xf>
    <xf numFmtId="9" fontId="9" fillId="11" borderId="10" xfId="0" applyNumberFormat="1" applyFont="1" applyFill="1" applyBorder="1" applyAlignment="1">
      <alignment horizontal="center" vertical="center"/>
    </xf>
    <xf numFmtId="9" fontId="9" fillId="11" borderId="16" xfId="0" applyNumberFormat="1" applyFont="1" applyFill="1" applyBorder="1" applyAlignment="1">
      <alignment horizontal="center" vertical="center"/>
    </xf>
    <xf numFmtId="164" fontId="11" fillId="11" borderId="6" xfId="0" applyNumberFormat="1" applyFont="1" applyFill="1" applyBorder="1" applyAlignment="1">
      <alignment vertical="center"/>
    </xf>
    <xf numFmtId="164" fontId="11" fillId="11" borderId="4" xfId="0" applyNumberFormat="1" applyFont="1" applyFill="1" applyBorder="1" applyAlignment="1">
      <alignment vertical="center"/>
    </xf>
    <xf numFmtId="164" fontId="9" fillId="11" borderId="5" xfId="0" applyNumberFormat="1" applyFont="1" applyFill="1" applyBorder="1" applyAlignment="1">
      <alignment horizontal="center" vertical="center"/>
    </xf>
    <xf numFmtId="164" fontId="9" fillId="11" borderId="29" xfId="0" applyNumberFormat="1" applyFont="1" applyFill="1" applyBorder="1" applyAlignment="1">
      <alignment horizontal="center" vertical="center"/>
    </xf>
    <xf numFmtId="0" fontId="49" fillId="12" borderId="8" xfId="0" applyFont="1" applyFill="1" applyBorder="1" applyAlignment="1">
      <alignment horizontal="center" vertical="center"/>
    </xf>
    <xf numFmtId="0" fontId="64" fillId="11" borderId="4" xfId="0" applyFont="1" applyFill="1" applyBorder="1" applyAlignment="1">
      <alignment horizontal="center" vertical="center"/>
    </xf>
    <xf numFmtId="0" fontId="64" fillId="11" borderId="5" xfId="0" applyFont="1" applyFill="1" applyBorder="1" applyAlignment="1">
      <alignment horizontal="center" vertical="center"/>
    </xf>
    <xf numFmtId="164" fontId="64" fillId="11" borderId="4" xfId="0" applyNumberFormat="1" applyFont="1" applyFill="1" applyBorder="1" applyAlignment="1">
      <alignment horizontal="center" vertical="center"/>
    </xf>
    <xf numFmtId="164" fontId="64" fillId="11" borderId="5" xfId="0" applyNumberFormat="1" applyFont="1" applyFill="1" applyBorder="1" applyAlignment="1">
      <alignment horizontal="center" vertical="center"/>
    </xf>
    <xf numFmtId="164" fontId="64" fillId="11" borderId="6" xfId="0" applyNumberFormat="1" applyFont="1" applyFill="1" applyBorder="1" applyAlignment="1">
      <alignment horizontal="center" vertical="center"/>
    </xf>
    <xf numFmtId="165" fontId="64" fillId="11" borderId="7" xfId="0" applyNumberFormat="1" applyFont="1" applyFill="1" applyBorder="1" applyAlignment="1">
      <alignment horizontal="center" vertical="center" wrapText="1"/>
    </xf>
    <xf numFmtId="166" fontId="31" fillId="10" borderId="0" xfId="0" applyNumberFormat="1" applyFont="1" applyFill="1"/>
    <xf numFmtId="3" fontId="33" fillId="7" borderId="0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3" fontId="10" fillId="13" borderId="20" xfId="0" applyNumberFormat="1" applyFont="1" applyFill="1" applyBorder="1" applyAlignment="1">
      <alignment horizontal="center" vertical="center"/>
    </xf>
    <xf numFmtId="164" fontId="11" fillId="13" borderId="27" xfId="0" applyNumberFormat="1" applyFont="1" applyFill="1" applyBorder="1" applyAlignment="1">
      <alignment vertical="center"/>
    </xf>
    <xf numFmtId="164" fontId="11" fillId="13" borderId="27" xfId="0" applyNumberFormat="1" applyFont="1" applyFill="1" applyBorder="1" applyAlignment="1">
      <alignment horizontal="center" vertical="center"/>
    </xf>
    <xf numFmtId="164" fontId="11" fillId="13" borderId="44" xfId="0" applyNumberFormat="1" applyFont="1" applyFill="1" applyBorder="1" applyAlignment="1">
      <alignment horizontal="center" vertical="center"/>
    </xf>
    <xf numFmtId="165" fontId="8" fillId="13" borderId="26" xfId="0" applyNumberFormat="1" applyFont="1" applyFill="1" applyBorder="1" applyAlignment="1">
      <alignment horizontal="right" vertical="center"/>
    </xf>
    <xf numFmtId="165" fontId="11" fillId="13" borderId="1" xfId="0" applyNumberFormat="1" applyFont="1" applyFill="1" applyBorder="1" applyAlignment="1">
      <alignment horizontal="right" vertical="center"/>
    </xf>
    <xf numFmtId="0" fontId="11" fillId="13" borderId="1" xfId="0" applyNumberFormat="1" applyFont="1" applyFill="1" applyBorder="1" applyAlignment="1">
      <alignment horizontal="right" vertical="center"/>
    </xf>
    <xf numFmtId="3" fontId="24" fillId="11" borderId="60" xfId="0" applyNumberFormat="1" applyFont="1" applyFill="1" applyBorder="1" applyAlignment="1">
      <alignment horizontal="center" vertical="center"/>
    </xf>
    <xf numFmtId="0" fontId="50" fillId="3" borderId="9" xfId="0" applyFont="1" applyFill="1" applyBorder="1" applyAlignment="1">
      <alignment horizontal="center" vertical="center"/>
    </xf>
    <xf numFmtId="165" fontId="36" fillId="3" borderId="7" xfId="0" applyNumberFormat="1" applyFont="1" applyFill="1" applyBorder="1" applyAlignment="1">
      <alignment horizontal="left" vertical="center"/>
    </xf>
    <xf numFmtId="0" fontId="15" fillId="3" borderId="5" xfId="0" quotePrefix="1" applyFont="1" applyFill="1" applyBorder="1" applyAlignment="1">
      <alignment horizontal="left" vertical="center"/>
    </xf>
    <xf numFmtId="165" fontId="13" fillId="3" borderId="7" xfId="0" quotePrefix="1" applyNumberFormat="1" applyFont="1" applyFill="1" applyBorder="1" applyAlignment="1">
      <alignment horizontal="right" vertical="center"/>
    </xf>
    <xf numFmtId="165" fontId="9" fillId="3" borderId="7" xfId="0" quotePrefix="1" applyNumberFormat="1" applyFont="1" applyFill="1" applyBorder="1" applyAlignment="1">
      <alignment horizontal="right" vertical="center"/>
    </xf>
    <xf numFmtId="0" fontId="15" fillId="3" borderId="7" xfId="0" quotePrefix="1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0" fontId="49" fillId="3" borderId="8" xfId="0" applyFont="1" applyFill="1" applyBorder="1" applyAlignment="1">
      <alignment horizontal="center" vertical="center"/>
    </xf>
    <xf numFmtId="165" fontId="11" fillId="3" borderId="7" xfId="0" applyNumberFormat="1" applyFont="1" applyFill="1" applyBorder="1" applyAlignment="1">
      <alignment horizontal="left" vertical="center"/>
    </xf>
    <xf numFmtId="0" fontId="63" fillId="3" borderId="5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/>
    </xf>
    <xf numFmtId="165" fontId="28" fillId="3" borderId="7" xfId="0" quotePrefix="1" applyNumberFormat="1" applyFont="1" applyFill="1" applyBorder="1" applyAlignment="1">
      <alignment horizontal="right" vertical="center"/>
    </xf>
    <xf numFmtId="0" fontId="9" fillId="3" borderId="7" xfId="0" quotePrefix="1" applyNumberFormat="1" applyFont="1" applyFill="1" applyBorder="1" applyAlignment="1">
      <alignment horizontal="right" vertical="center"/>
    </xf>
    <xf numFmtId="165" fontId="66" fillId="3" borderId="7" xfId="0" quotePrefix="1" applyNumberFormat="1" applyFont="1" applyFill="1" applyBorder="1" applyAlignment="1">
      <alignment horizontal="right" vertical="center"/>
    </xf>
    <xf numFmtId="165" fontId="31" fillId="9" borderId="0" xfId="0" applyNumberFormat="1" applyFont="1" applyFill="1" applyAlignment="1">
      <alignment vertical="center"/>
    </xf>
    <xf numFmtId="0" fontId="29" fillId="10" borderId="0" xfId="0" applyFont="1" applyFill="1" applyBorder="1" applyAlignment="1">
      <alignment horizontal="center"/>
    </xf>
    <xf numFmtId="9" fontId="11" fillId="11" borderId="5" xfId="0" applyNumberFormat="1" applyFont="1" applyFill="1" applyBorder="1" applyAlignment="1">
      <alignment horizontal="center" vertical="center"/>
    </xf>
    <xf numFmtId="9" fontId="11" fillId="11" borderId="29" xfId="0" applyNumberFormat="1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/>
    </xf>
    <xf numFmtId="3" fontId="10" fillId="11" borderId="17" xfId="0" applyNumberFormat="1" applyFont="1" applyFill="1" applyBorder="1" applyAlignment="1">
      <alignment horizontal="center" vertical="center"/>
    </xf>
    <xf numFmtId="3" fontId="10" fillId="11" borderId="23" xfId="0" applyNumberFormat="1" applyFont="1" applyFill="1" applyBorder="1" applyAlignment="1">
      <alignment horizontal="center" vertical="center"/>
    </xf>
    <xf numFmtId="3" fontId="10" fillId="11" borderId="20" xfId="0" applyNumberFormat="1" applyFont="1" applyFill="1" applyBorder="1" applyAlignment="1">
      <alignment horizontal="center" vertical="center"/>
    </xf>
    <xf numFmtId="3" fontId="10" fillId="11" borderId="17" xfId="0" applyNumberFormat="1" applyFont="1" applyFill="1" applyBorder="1" applyAlignment="1">
      <alignment horizontal="center" vertical="center" wrapText="1"/>
    </xf>
    <xf numFmtId="3" fontId="10" fillId="11" borderId="20" xfId="0" applyNumberFormat="1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center"/>
    </xf>
    <xf numFmtId="0" fontId="29" fillId="7" borderId="15" xfId="0" applyFont="1" applyFill="1" applyBorder="1" applyAlignment="1">
      <alignment horizontal="center"/>
    </xf>
    <xf numFmtId="0" fontId="29" fillId="7" borderId="4" xfId="0" applyFont="1" applyFill="1" applyBorder="1" applyAlignment="1">
      <alignment horizontal="center"/>
    </xf>
    <xf numFmtId="0" fontId="29" fillId="7" borderId="5" xfId="0" applyFont="1" applyFill="1" applyBorder="1" applyAlignment="1">
      <alignment horizontal="center"/>
    </xf>
    <xf numFmtId="164" fontId="11" fillId="11" borderId="18" xfId="0" applyNumberFormat="1" applyFont="1" applyFill="1" applyBorder="1" applyAlignment="1">
      <alignment horizontal="center" vertical="center"/>
    </xf>
    <xf numFmtId="164" fontId="11" fillId="11" borderId="12" xfId="0" applyNumberFormat="1" applyFont="1" applyFill="1" applyBorder="1" applyAlignment="1">
      <alignment horizontal="center" vertical="center"/>
    </xf>
    <xf numFmtId="164" fontId="11" fillId="11" borderId="45" xfId="0" applyNumberFormat="1" applyFont="1" applyFill="1" applyBorder="1" applyAlignment="1">
      <alignment horizontal="center" vertical="center"/>
    </xf>
    <xf numFmtId="0" fontId="24" fillId="11" borderId="2" xfId="0" applyFont="1" applyFill="1" applyBorder="1" applyAlignment="1">
      <alignment horizontal="center" vertical="center" wrapText="1"/>
    </xf>
    <xf numFmtId="0" fontId="24" fillId="11" borderId="58" xfId="0" applyFont="1" applyFill="1" applyBorder="1" applyAlignment="1">
      <alignment horizontal="center" vertical="center" wrapText="1"/>
    </xf>
    <xf numFmtId="0" fontId="17" fillId="10" borderId="24" xfId="0" applyFont="1" applyFill="1" applyBorder="1" applyAlignment="1">
      <alignment horizontal="center"/>
    </xf>
    <xf numFmtId="0" fontId="17" fillId="10" borderId="25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29" fillId="10" borderId="40" xfId="0" applyFont="1" applyFill="1" applyBorder="1" applyAlignment="1">
      <alignment horizontal="center"/>
    </xf>
    <xf numFmtId="0" fontId="61" fillId="10" borderId="41" xfId="1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center" vertical="center" wrapText="1"/>
    </xf>
    <xf numFmtId="0" fontId="29" fillId="5" borderId="25" xfId="0" applyFont="1" applyFill="1" applyBorder="1" applyAlignment="1">
      <alignment horizontal="center" vertical="center" wrapText="1"/>
    </xf>
    <xf numFmtId="0" fontId="29" fillId="5" borderId="26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0" fontId="24" fillId="7" borderId="4" xfId="0" applyFont="1" applyFill="1" applyBorder="1" applyAlignment="1">
      <alignment horizontal="center"/>
    </xf>
    <xf numFmtId="0" fontId="61" fillId="10" borderId="0" xfId="1" applyFont="1" applyFill="1" applyAlignment="1">
      <alignment horizontal="center"/>
    </xf>
    <xf numFmtId="0" fontId="55" fillId="10" borderId="0" xfId="1" applyFont="1" applyFill="1" applyAlignment="1">
      <alignment horizontal="center"/>
    </xf>
    <xf numFmtId="0" fontId="17" fillId="10" borderId="0" xfId="0" applyFont="1" applyFill="1" applyAlignment="1">
      <alignment horizontal="center" vertical="center"/>
    </xf>
    <xf numFmtId="0" fontId="25" fillId="10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/>
    </xf>
    <xf numFmtId="0" fontId="9" fillId="0" borderId="61" xfId="0" applyFont="1" applyBorder="1" applyAlignment="1">
      <alignment horizontal="left" vertical="center"/>
    </xf>
    <xf numFmtId="0" fontId="63" fillId="0" borderId="61" xfId="0" applyFont="1" applyFill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165" fontId="28" fillId="0" borderId="63" xfId="0" quotePrefix="1" applyNumberFormat="1" applyFont="1" applyBorder="1" applyAlignment="1">
      <alignment horizontal="right" vertical="center"/>
    </xf>
    <xf numFmtId="165" fontId="9" fillId="0" borderId="63" xfId="0" quotePrefix="1" applyNumberFormat="1" applyFont="1" applyBorder="1" applyAlignment="1">
      <alignment horizontal="right" vertical="center"/>
    </xf>
    <xf numFmtId="0" fontId="9" fillId="0" borderId="63" xfId="0" quotePrefix="1" applyNumberFormat="1" applyFont="1" applyBorder="1" applyAlignment="1">
      <alignment horizontal="right" vertical="center"/>
    </xf>
    <xf numFmtId="165" fontId="9" fillId="0" borderId="63" xfId="0" quotePrefix="1" applyNumberFormat="1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55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strike val="0"/>
      </font>
      <fill>
        <patternFill patternType="solid"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B050"/>
      </font>
    </dxf>
    <dxf>
      <font>
        <color rgb="FFFF0000"/>
      </font>
      <numFmt numFmtId="168" formatCode="0.0%"/>
    </dxf>
    <dxf>
      <font>
        <color rgb="FFFF0000"/>
      </font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</font>
      <numFmt numFmtId="3" formatCode="#,##0"/>
    </dxf>
    <dxf>
      <font>
        <b/>
      </font>
      <numFmt numFmtId="3" formatCode="#,##0"/>
    </dxf>
    <dxf>
      <font>
        <b/>
      </font>
      <numFmt numFmtId="3" formatCode="#,##0"/>
    </dxf>
    <dxf>
      <font>
        <b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i/>
      </font>
      <numFmt numFmtId="3" formatCode="#,##0"/>
    </dxf>
    <dxf>
      <font>
        <i/>
        <color auto="1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</dxf>
    <dxf>
      <font>
        <i/>
      </font>
      <numFmt numFmtId="3" formatCode="#,##0"/>
    </dxf>
    <dxf>
      <font>
        <i/>
      </font>
      <numFmt numFmtId="3" formatCode="#,##0"/>
    </dxf>
    <dxf>
      <font>
        <b/>
      </font>
      <numFmt numFmtId="3" formatCode="#,##0"/>
    </dxf>
    <dxf>
      <font>
        <b/>
      </font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numFmt numFmtId="4" formatCode="#,##0.0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D0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Aktueller Stand</a:t>
            </a:r>
          </a:p>
          <a:p>
            <a:pPr>
              <a:defRPr/>
            </a:pPr>
            <a:r>
              <a:rPr lang="de-DE">
                <a:solidFill>
                  <a:sysClr val="windowText" lastClr="000000"/>
                </a:solidFill>
              </a:rPr>
              <a:t>und Prognose</a:t>
            </a:r>
          </a:p>
        </c:rich>
      </c:tx>
      <c:layout>
        <c:manualLayout>
          <c:xMode val="edge"/>
          <c:yMode val="edge"/>
          <c:x val="3.3915804085648725E-2"/>
          <c:y val="3.791701568968821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0805541273050116E-2"/>
          <c:y val="0.10467574213818567"/>
          <c:w val="0.8597564327361924"/>
          <c:h val="0.76489625830237284"/>
        </c:manualLayout>
      </c:layout>
      <c:lineChart>
        <c:grouping val="standard"/>
        <c:varyColors val="0"/>
        <c:ser>
          <c:idx val="2"/>
          <c:order val="0"/>
          <c:tx>
            <c:v>€ Erste Schätzung max.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'Rohals Erben'!$E$181:$E$202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'Rohals Erben'!$J$181:$J$202</c:f>
              <c:numCache>
                <c:formatCode>#,##0\ "€"</c:formatCode>
                <c:ptCount val="22"/>
                <c:pt idx="0">
                  <c:v>0</c:v>
                </c:pt>
                <c:pt idx="1">
                  <c:v>82966</c:v>
                </c:pt>
                <c:pt idx="2">
                  <c:v>96328</c:v>
                </c:pt>
                <c:pt idx="3">
                  <c:v>115147</c:v>
                </c:pt>
                <c:pt idx="4">
                  <c:v>127831.66299185227</c:v>
                </c:pt>
                <c:pt idx="5">
                  <c:v>136986.5721718125</c:v>
                </c:pt>
                <c:pt idx="6">
                  <c:v>147760.42850648507</c:v>
                </c:pt>
                <c:pt idx="7">
                  <c:v>176956.35685587325</c:v>
                </c:pt>
                <c:pt idx="8">
                  <c:v>194061.31932099242</c:v>
                </c:pt>
                <c:pt idx="9">
                  <c:v>205256.75049256234</c:v>
                </c:pt>
                <c:pt idx="10">
                  <c:v>216611.83130650758</c:v>
                </c:pt>
                <c:pt idx="11">
                  <c:v>224621.75320755725</c:v>
                </c:pt>
                <c:pt idx="12">
                  <c:v>233040.77731719372</c:v>
                </c:pt>
                <c:pt idx="13">
                  <c:v>239666.23747576986</c:v>
                </c:pt>
                <c:pt idx="14">
                  <c:v>250125.78357701597</c:v>
                </c:pt>
                <c:pt idx="15">
                  <c:v>279172.04038667731</c:v>
                </c:pt>
                <c:pt idx="16">
                  <c:v>291622.21796629083</c:v>
                </c:pt>
                <c:pt idx="17">
                  <c:v>304087.36269987701</c:v>
                </c:pt>
                <c:pt idx="18">
                  <c:v>316205.76836642926</c:v>
                </c:pt>
                <c:pt idx="19">
                  <c:v>338823.63254482148</c:v>
                </c:pt>
                <c:pt idx="20">
                  <c:v>360553.44558750093</c:v>
                </c:pt>
                <c:pt idx="21">
                  <c:v>406180.81447323738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92E9-44F5-946D-8A216D011837}"/>
            </c:ext>
          </c:extLst>
        </c:ser>
        <c:ser>
          <c:idx val="3"/>
          <c:order val="1"/>
          <c:tx>
            <c:v>€ Erste Schätzung min.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'Rohals Erben'!$E$181:$E$202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'Rohals Erben'!$I$181:$I$202</c:f>
              <c:numCache>
                <c:formatCode>#,##0\ "€"</c:formatCode>
                <c:ptCount val="22"/>
                <c:pt idx="0">
                  <c:v>0</c:v>
                </c:pt>
                <c:pt idx="1">
                  <c:v>82966</c:v>
                </c:pt>
                <c:pt idx="2">
                  <c:v>96328</c:v>
                </c:pt>
                <c:pt idx="3">
                  <c:v>115147</c:v>
                </c:pt>
                <c:pt idx="4">
                  <c:v>119666.33664698897</c:v>
                </c:pt>
                <c:pt idx="5">
                  <c:v>122016.21277884467</c:v>
                </c:pt>
                <c:pt idx="6">
                  <c:v>123531.8530631285</c:v>
                </c:pt>
                <c:pt idx="7">
                  <c:v>126868.05093433859</c:v>
                </c:pt>
                <c:pt idx="8">
                  <c:v>129223.89121881321</c:v>
                </c:pt>
                <c:pt idx="9">
                  <c:v>132067.30097988481</c:v>
                </c:pt>
                <c:pt idx="10">
                  <c:v>135593.60621582309</c:v>
                </c:pt>
                <c:pt idx="11">
                  <c:v>136887.08181505205</c:v>
                </c:pt>
                <c:pt idx="12">
                  <c:v>139192.22680226582</c:v>
                </c:pt>
                <c:pt idx="13">
                  <c:v>141360.19627924438</c:v>
                </c:pt>
                <c:pt idx="14">
                  <c:v>144377.31198534209</c:v>
                </c:pt>
                <c:pt idx="15">
                  <c:v>147625.53860542309</c:v>
                </c:pt>
                <c:pt idx="16">
                  <c:v>152088.2158025323</c:v>
                </c:pt>
                <c:pt idx="17">
                  <c:v>156632.15457907433</c:v>
                </c:pt>
                <c:pt idx="18">
                  <c:v>161010.58812044124</c:v>
                </c:pt>
                <c:pt idx="19">
                  <c:v>167065.69406680291</c:v>
                </c:pt>
                <c:pt idx="20">
                  <c:v>172121.80444949496</c:v>
                </c:pt>
                <c:pt idx="21">
                  <c:v>202104.34518389867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92E9-44F5-946D-8A216D011837}"/>
            </c:ext>
          </c:extLst>
        </c:ser>
        <c:ser>
          <c:idx val="1"/>
          <c:order val="2"/>
          <c:tx>
            <c:v>€ Werkzeuge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'Rohals Erben'!$E$181:$E$202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'Rohals Erben'!$K$181:$K$202</c:f>
              <c:numCache>
                <c:formatCode>#,##0\ "€"</c:formatCode>
                <c:ptCount val="22"/>
                <c:pt idx="0" formatCode="General">
                  <c:v>0</c:v>
                </c:pt>
                <c:pt idx="1">
                  <c:v>43437</c:v>
                </c:pt>
                <c:pt idx="2">
                  <c:v>49522</c:v>
                </c:pt>
                <c:pt idx="3">
                  <c:v>53901</c:v>
                </c:pt>
                <c:pt idx="4">
                  <c:v>59963</c:v>
                </c:pt>
                <c:pt idx="5">
                  <c:v>63115</c:v>
                </c:pt>
                <c:pt idx="6">
                  <c:v>65148</c:v>
                </c:pt>
                <c:pt idx="7">
                  <c:v>69623</c:v>
                </c:pt>
                <c:pt idx="8">
                  <c:v>72783</c:v>
                </c:pt>
                <c:pt idx="9">
                  <c:v>76597</c:v>
                </c:pt>
                <c:pt idx="10">
                  <c:v>81327</c:v>
                </c:pt>
                <c:pt idx="11">
                  <c:v>83062</c:v>
                </c:pt>
                <c:pt idx="12">
                  <c:v>86154</c:v>
                </c:pt>
                <c:pt idx="13">
                  <c:v>89062</c:v>
                </c:pt>
                <c:pt idx="14">
                  <c:v>93109</c:v>
                </c:pt>
                <c:pt idx="15">
                  <c:v>97466</c:v>
                </c:pt>
                <c:pt idx="16">
                  <c:v>103452</c:v>
                </c:pt>
                <c:pt idx="17">
                  <c:v>109547</c:v>
                </c:pt>
                <c:pt idx="18">
                  <c:v>115420</c:v>
                </c:pt>
                <c:pt idx="19">
                  <c:v>123542</c:v>
                </c:pt>
                <c:pt idx="20">
                  <c:v>130324</c:v>
                </c:pt>
                <c:pt idx="21">
                  <c:v>170541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52-48EC-BA19-7C3524606F78}"/>
            </c:ext>
          </c:extLst>
        </c:ser>
        <c:ser>
          <c:idx val="4"/>
          <c:order val="3"/>
          <c:tx>
            <c:v>€ Thorwal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'Rohals Erben'!$L$181:$L$202</c:f>
              <c:numCache>
                <c:formatCode>#,##0\ "€"</c:formatCode>
                <c:ptCount val="22"/>
                <c:pt idx="0" formatCode="General">
                  <c:v>0</c:v>
                </c:pt>
                <c:pt idx="2">
                  <c:v>65000</c:v>
                </c:pt>
                <c:pt idx="12">
                  <c:v>125000</c:v>
                </c:pt>
                <c:pt idx="21">
                  <c:v>266116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3B7C-46DC-8092-36A582ED1EEC}"/>
            </c:ext>
          </c:extLst>
        </c:ser>
        <c:ser>
          <c:idx val="5"/>
          <c:order val="4"/>
          <c:tx>
            <c:v>€ Sonnenküste</c:v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val>
            <c:numRef>
              <c:f>'Rohals Erben'!$M$181:$M$202</c:f>
              <c:numCache>
                <c:formatCode>#,##0\ "€"</c:formatCode>
                <c:ptCount val="22"/>
                <c:pt idx="0">
                  <c:v>0</c:v>
                </c:pt>
                <c:pt idx="1">
                  <c:v>89735</c:v>
                </c:pt>
                <c:pt idx="2">
                  <c:v>114003</c:v>
                </c:pt>
                <c:pt idx="3">
                  <c:v>122519</c:v>
                </c:pt>
                <c:pt idx="4">
                  <c:v>127604</c:v>
                </c:pt>
                <c:pt idx="5">
                  <c:v>131274</c:v>
                </c:pt>
                <c:pt idx="6">
                  <c:v>135593</c:v>
                </c:pt>
                <c:pt idx="7">
                  <c:v>147297</c:v>
                </c:pt>
                <c:pt idx="8">
                  <c:v>154154</c:v>
                </c:pt>
                <c:pt idx="9">
                  <c:v>158642</c:v>
                </c:pt>
                <c:pt idx="10">
                  <c:v>163194</c:v>
                </c:pt>
                <c:pt idx="11">
                  <c:v>166405</c:v>
                </c:pt>
                <c:pt idx="12">
                  <c:v>169780</c:v>
                </c:pt>
                <c:pt idx="13">
                  <c:v>172436</c:v>
                </c:pt>
                <c:pt idx="14">
                  <c:v>176629</c:v>
                </c:pt>
                <c:pt idx="15">
                  <c:v>188273</c:v>
                </c:pt>
                <c:pt idx="16">
                  <c:v>193264</c:v>
                </c:pt>
                <c:pt idx="17">
                  <c:v>198261</c:v>
                </c:pt>
                <c:pt idx="18">
                  <c:v>203119</c:v>
                </c:pt>
                <c:pt idx="19">
                  <c:v>212186</c:v>
                </c:pt>
                <c:pt idx="20">
                  <c:v>220897</c:v>
                </c:pt>
                <c:pt idx="21">
                  <c:v>239188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3C-4FCE-9797-1D2BDC224990}"/>
            </c:ext>
          </c:extLst>
        </c:ser>
        <c:ser>
          <c:idx val="0"/>
          <c:order val="5"/>
          <c:tx>
            <c:v>€ Aktuelle Prognose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3C-4FCE-9797-1D2BDC224990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703C-4FCE-9797-1D2BDC224990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703C-4FCE-9797-1D2BDC224990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03C-4FCE-9797-1D2BDC224990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703C-4FCE-9797-1D2BDC224990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03C-4FCE-9797-1D2BDC224990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703C-4FCE-9797-1D2BDC224990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703C-4FCE-9797-1D2BDC224990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703C-4FCE-9797-1D2BDC224990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703C-4FCE-9797-1D2BDC224990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703C-4FCE-9797-1D2BDC224990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703C-4FCE-9797-1D2BDC22499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703C-4FCE-9797-1D2BDC22499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703C-4FCE-9797-1D2BDC224990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703C-4FCE-9797-1D2BDC224990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703C-4FCE-9797-1D2BDC224990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703C-4FCE-9797-1D2BDC224990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703C-4FCE-9797-1D2BDC224990}"/>
              </c:ext>
            </c:extLst>
          </c:dPt>
          <c:dPt>
            <c:idx val="22"/>
            <c:marker>
              <c:symbol val="diamond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92E9-44F5-946D-8A216D011837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92E9-44F5-946D-8A216D011837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92E9-44F5-946D-8A216D011837}"/>
              </c:ext>
            </c:extLst>
          </c:dPt>
          <c:dPt>
            <c:idx val="25"/>
            <c:marker>
              <c:symbol val="diamond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92E9-44F5-946D-8A216D011837}"/>
              </c:ext>
            </c:extLst>
          </c:dPt>
          <c:cat>
            <c:numRef>
              <c:f>'Rohals Erben'!$E$181:$E$202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'Rohals Erben'!$G$181:$G$202</c:f>
              <c:numCache>
                <c:formatCode>#,##0\ "€"</c:formatCode>
                <c:ptCount val="22"/>
                <c:pt idx="0">
                  <c:v>0</c:v>
                </c:pt>
                <c:pt idx="1">
                  <c:v>82966</c:v>
                </c:pt>
                <c:pt idx="2">
                  <c:v>96328</c:v>
                </c:pt>
                <c:pt idx="3">
                  <c:v>115147</c:v>
                </c:pt>
                <c:pt idx="4">
                  <c:v>123834</c:v>
                </c:pt>
                <c:pt idx="5">
                  <c:v>132002</c:v>
                </c:pt>
                <c:pt idx="6">
                  <c:v>150957</c:v>
                </c:pt>
                <c:pt idx="7">
                  <c:v>164491</c:v>
                </c:pt>
                <c:pt idx="8">
                  <c:v>182858</c:v>
                </c:pt>
                <c:pt idx="9">
                  <c:v>195000</c:v>
                </c:pt>
                <c:pt idx="10">
                  <c:v>203877</c:v>
                </c:pt>
                <c:pt idx="11">
                  <c:v>212794</c:v>
                </c:pt>
                <c:pt idx="12">
                  <c:v>221864</c:v>
                </c:pt>
                <c:pt idx="13">
                  <c:v>229701</c:v>
                </c:pt>
                <c:pt idx="14">
                  <c:v>240791</c:v>
                </c:pt>
                <c:pt idx="15">
                  <c:v>249000</c:v>
                </c:pt>
                <c:pt idx="16">
                  <c:v>257666</c:v>
                </c:pt>
                <c:pt idx="17">
                  <c:v>268894</c:v>
                </c:pt>
                <c:pt idx="18">
                  <c:v>280832</c:v>
                </c:pt>
                <c:pt idx="19">
                  <c:v>299641</c:v>
                </c:pt>
                <c:pt idx="20">
                  <c:v>330836</c:v>
                </c:pt>
                <c:pt idx="21">
                  <c:v>369421.03880597017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92E9-44F5-946D-8A216D011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141632"/>
        <c:axId val="514139008"/>
      </c:lineChart>
      <c:catAx>
        <c:axId val="5141416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39008"/>
        <c:crosses val="autoZero"/>
        <c:auto val="0"/>
        <c:lblAlgn val="ctr"/>
        <c:lblOffset val="100"/>
        <c:noMultiLvlLbl val="0"/>
      </c:catAx>
      <c:valAx>
        <c:axId val="514139008"/>
        <c:scaling>
          <c:orientation val="minMax"/>
          <c:max val="43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\ &quot;T€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41632"/>
        <c:crossesAt val="43874"/>
        <c:crossBetween val="midCat"/>
        <c:majorUnit val="15000"/>
        <c:minorUnit val="1000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195507066379303"/>
          <c:y val="7.5604929793808831E-3"/>
          <c:w val="0.79804488064408385"/>
          <c:h val="9.058252366927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'Rohals Erben'!$BH$205</c:f>
              <c:strCache>
                <c:ptCount val="1"/>
                <c:pt idx="0">
                  <c:v>AML (€/kum)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'Rohals Erben'!$BH$206:$BH$223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'Rohals Erben'!$AP$206:$AP$223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5AD-4B0F-940D-184573DF9252}"/>
            </c:ext>
          </c:extLst>
        </c:ser>
        <c:ser>
          <c:idx val="3"/>
          <c:order val="1"/>
          <c:tx>
            <c:strRef>
              <c:f>'Rohals Erben'!$BJ$205</c:f>
              <c:strCache>
                <c:ptCount val="1"/>
                <c:pt idx="0">
                  <c:v>AML (B/kum)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'Rohals Erben'!$BJ$206:$BJ$223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'Rohals Erben'!$AP$206:$AP$223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5AD-4B0F-940D-184573DF9252}"/>
            </c:ext>
          </c:extLst>
        </c:ser>
        <c:ser>
          <c:idx val="5"/>
          <c:order val="2"/>
          <c:tx>
            <c:strRef>
              <c:f>'Rohals Erben'!$BL$205</c:f>
              <c:strCache>
                <c:ptCount val="1"/>
                <c:pt idx="0">
                  <c:v>DSK (€/kum)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'Rohals Erben'!$BL$206:$BL$223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'Rohals Erben'!$AP$206:$AP$223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85AD-4B0F-940D-184573DF9252}"/>
            </c:ext>
          </c:extLst>
        </c:ser>
        <c:ser>
          <c:idx val="7"/>
          <c:order val="3"/>
          <c:tx>
            <c:strRef>
              <c:f>'Rohals Erben'!$BN$205</c:f>
              <c:strCache>
                <c:ptCount val="1"/>
                <c:pt idx="0">
                  <c:v>DSK (B/kum)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'Rohals Erben'!$BN$206:$BN$223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'Rohals Erben'!$AP$206:$AP$223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85AD-4B0F-940D-184573DF9252}"/>
            </c:ext>
          </c:extLst>
        </c:ser>
        <c:ser>
          <c:idx val="9"/>
          <c:order val="4"/>
          <c:tx>
            <c:strRef>
              <c:f>'Rohals Erben'!$BP$205</c:f>
              <c:strCache>
                <c:ptCount val="1"/>
                <c:pt idx="0">
                  <c:v>WM (€/kum)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'Rohals Erben'!$BP$206:$BP$223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'Rohals Erben'!$AP$206:$AP$223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85AD-4B0F-940D-184573DF9252}"/>
            </c:ext>
          </c:extLst>
        </c:ser>
        <c:ser>
          <c:idx val="11"/>
          <c:order val="5"/>
          <c:tx>
            <c:strRef>
              <c:f>'Rohals Erben'!$BR$205</c:f>
              <c:strCache>
                <c:ptCount val="1"/>
                <c:pt idx="0">
                  <c:v>WM (B/kum)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'Rohals Erben'!$BR$206:$BR$223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'Rohals Erben'!$AP$206:$AP$223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85AD-4B0F-940D-184573DF9252}"/>
            </c:ext>
          </c:extLst>
        </c:ser>
        <c:ser>
          <c:idx val="14"/>
          <c:order val="6"/>
          <c:tx>
            <c:strRef>
              <c:f>'Rohals Erben'!$BU$205</c:f>
              <c:strCache>
                <c:ptCount val="1"/>
                <c:pt idx="0">
                  <c:v>ANB (€/kum)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'Rohals Erben'!$BU$206:$BU$223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'Rohals Erben'!$AP$206:$AP$223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E-85AD-4B0F-940D-184573DF9252}"/>
            </c:ext>
          </c:extLst>
        </c:ser>
        <c:ser>
          <c:idx val="0"/>
          <c:order val="7"/>
          <c:tx>
            <c:strRef>
              <c:f>'Rohals Erben'!$BW$205</c:f>
              <c:strCache>
                <c:ptCount val="1"/>
                <c:pt idx="0">
                  <c:v>ANB (B/kum)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'Rohals Erben'!$BW$206:$BW$223</c:f>
            </c:numRef>
          </c:val>
          <c:smooth val="0"/>
          <c:extLst>
            <c:ext xmlns:c16="http://schemas.microsoft.com/office/drawing/2014/chart" uri="{C3380CC4-5D6E-409C-BE32-E72D297353CC}">
              <c16:uniqueId val="{00000011-85AD-4B0F-940D-184573DF9252}"/>
            </c:ext>
          </c:extLst>
        </c:ser>
        <c:ser>
          <c:idx val="2"/>
          <c:order val="8"/>
          <c:tx>
            <c:v>SOK (€/kum)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'Rohals Erben'!$BD$206:$BD$223</c:f>
            </c:numRef>
          </c:val>
          <c:smooth val="0"/>
          <c:extLst>
            <c:ext xmlns:c16="http://schemas.microsoft.com/office/drawing/2014/chart" uri="{C3380CC4-5D6E-409C-BE32-E72D297353CC}">
              <c16:uniqueId val="{00000002-D0D2-4EA0-895C-0485D4383196}"/>
            </c:ext>
          </c:extLst>
        </c:ser>
        <c:ser>
          <c:idx val="4"/>
          <c:order val="9"/>
          <c:tx>
            <c:v>SOK (B/kum)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'Rohals Erben'!$BF$206:$BF$223</c:f>
            </c:numRef>
          </c:val>
          <c:smooth val="0"/>
          <c:extLst>
            <c:ext xmlns:c16="http://schemas.microsoft.com/office/drawing/2014/chart" uri="{C3380CC4-5D6E-409C-BE32-E72D297353CC}">
              <c16:uniqueId val="{00000003-D0D2-4EA0-895C-0485D4383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804584"/>
        <c:axId val="721798024"/>
      </c:lineChart>
      <c:catAx>
        <c:axId val="72180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1798024"/>
        <c:crosses val="autoZero"/>
        <c:auto val="1"/>
        <c:lblAlgn val="ctr"/>
        <c:lblOffset val="100"/>
        <c:noMultiLvlLbl val="0"/>
      </c:catAx>
      <c:valAx>
        <c:axId val="721798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180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Vergleich!$C$2</c:f>
              <c:strCache>
                <c:ptCount val="1"/>
                <c:pt idx="0">
                  <c:v>Nedime (€)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Vergleich!$C$3:$C$24</c:f>
              <c:numCache>
                <c:formatCode>#,##0</c:formatCode>
                <c:ptCount val="22"/>
                <c:pt idx="0">
                  <c:v>0</c:v>
                </c:pt>
                <c:pt idx="1">
                  <c:v>14771</c:v>
                </c:pt>
                <c:pt idx="2">
                  <c:v>16764</c:v>
                </c:pt>
                <c:pt idx="3">
                  <c:v>17674</c:v>
                </c:pt>
                <c:pt idx="4">
                  <c:v>18881</c:v>
                </c:pt>
                <c:pt idx="5">
                  <c:v>21886</c:v>
                </c:pt>
                <c:pt idx="6">
                  <c:v>22571</c:v>
                </c:pt>
                <c:pt idx="7">
                  <c:v>24180</c:v>
                </c:pt>
                <c:pt idx="8">
                  <c:v>26679</c:v>
                </c:pt>
                <c:pt idx="9">
                  <c:v>27868</c:v>
                </c:pt>
                <c:pt idx="10">
                  <c:v>31587</c:v>
                </c:pt>
                <c:pt idx="11">
                  <c:v>34703</c:v>
                </c:pt>
                <c:pt idx="12">
                  <c:v>36986</c:v>
                </c:pt>
                <c:pt idx="13">
                  <c:v>37704</c:v>
                </c:pt>
                <c:pt idx="14">
                  <c:v>38541</c:v>
                </c:pt>
                <c:pt idx="15">
                  <c:v>40401</c:v>
                </c:pt>
                <c:pt idx="16">
                  <c:v>42277</c:v>
                </c:pt>
                <c:pt idx="17">
                  <c:v>44039</c:v>
                </c:pt>
                <c:pt idx="18">
                  <c:v>46661</c:v>
                </c:pt>
                <c:pt idx="19">
                  <c:v>49576</c:v>
                </c:pt>
                <c:pt idx="20">
                  <c:v>54612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51-40A9-B8C8-DD6E3F7C80B9}"/>
            </c:ext>
          </c:extLst>
        </c:ser>
        <c:ser>
          <c:idx val="3"/>
          <c:order val="2"/>
          <c:tx>
            <c:strRef>
              <c:f>Vergleich!$E$2</c:f>
              <c:strCache>
                <c:ptCount val="1"/>
                <c:pt idx="0">
                  <c:v>Thorwal norm (€)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Vergleich!$E$3:$E$24</c:f>
              <c:numCache>
                <c:formatCode>#,##0</c:formatCode>
                <c:ptCount val="22"/>
                <c:pt idx="0">
                  <c:v>0</c:v>
                </c:pt>
                <c:pt idx="1">
                  <c:v>15220.890095815445</c:v>
                </c:pt>
                <c:pt idx="2">
                  <c:v>16625.895335429177</c:v>
                </c:pt>
                <c:pt idx="3">
                  <c:v>18030.90057504291</c:v>
                </c:pt>
                <c:pt idx="4">
                  <c:v>19435.905814656642</c:v>
                </c:pt>
                <c:pt idx="5">
                  <c:v>20840.911054270375</c:v>
                </c:pt>
                <c:pt idx="6">
                  <c:v>22245.916293884107</c:v>
                </c:pt>
                <c:pt idx="7">
                  <c:v>23650.92153349784</c:v>
                </c:pt>
                <c:pt idx="8">
                  <c:v>25055.926773111572</c:v>
                </c:pt>
                <c:pt idx="9">
                  <c:v>26460.932012725305</c:v>
                </c:pt>
                <c:pt idx="10">
                  <c:v>27865.937252339038</c:v>
                </c:pt>
                <c:pt idx="11">
                  <c:v>29270.942491952781</c:v>
                </c:pt>
                <c:pt idx="12">
                  <c:v>32578.348242757504</c:v>
                </c:pt>
                <c:pt idx="13">
                  <c:v>35885.753993562226</c:v>
                </c:pt>
                <c:pt idx="14">
                  <c:v>39193.159744366945</c:v>
                </c:pt>
                <c:pt idx="15">
                  <c:v>42500.565495171664</c:v>
                </c:pt>
                <c:pt idx="16">
                  <c:v>45807.971245976383</c:v>
                </c:pt>
                <c:pt idx="17">
                  <c:v>49115.376996781102</c:v>
                </c:pt>
                <c:pt idx="18">
                  <c:v>52422.782747585821</c:v>
                </c:pt>
                <c:pt idx="19">
                  <c:v>55730.18849839054</c:v>
                </c:pt>
                <c:pt idx="20">
                  <c:v>59037.594249195259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1-40A9-B8C8-DD6E3F7C80B9}"/>
            </c:ext>
          </c:extLst>
        </c:ser>
        <c:ser>
          <c:idx val="5"/>
          <c:order val="4"/>
          <c:tx>
            <c:strRef>
              <c:f>Vergleich!$G$2</c:f>
              <c:strCache>
                <c:ptCount val="1"/>
                <c:pt idx="0">
                  <c:v>Werkzeuge norm (€)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Vergleich!$G$3:$G$24</c:f>
              <c:numCache>
                <c:formatCode>#,##0</c:formatCode>
                <c:ptCount val="22"/>
                <c:pt idx="0">
                  <c:v>0</c:v>
                </c:pt>
                <c:pt idx="1">
                  <c:v>15879.347283058034</c:v>
                </c:pt>
                <c:pt idx="2">
                  <c:v>18103.852387402443</c:v>
                </c:pt>
                <c:pt idx="3">
                  <c:v>19704.691804316852</c:v>
                </c:pt>
                <c:pt idx="4">
                  <c:v>21920.78875461033</c:v>
                </c:pt>
                <c:pt idx="5">
                  <c:v>23073.071431503275</c:v>
                </c:pt>
                <c:pt idx="6">
                  <c:v>23816.279135222616</c:v>
                </c:pt>
                <c:pt idx="7">
                  <c:v>25452.213456001784</c:v>
                </c:pt>
                <c:pt idx="8">
                  <c:v>26607.420708216792</c:v>
                </c:pt>
                <c:pt idx="9">
                  <c:v>28001.711993010478</c:v>
                </c:pt>
                <c:pt idx="10">
                  <c:v>29730.867152180414</c:v>
                </c:pt>
                <c:pt idx="11">
                  <c:v>30365.134425152894</c:v>
                </c:pt>
                <c:pt idx="12">
                  <c:v>31495.482787130364</c:v>
                </c:pt>
                <c:pt idx="13">
                  <c:v>32558.56591670038</c:v>
                </c:pt>
                <c:pt idx="14">
                  <c:v>34038.035457749167</c:v>
                </c:pt>
                <c:pt idx="15">
                  <c:v>35630.832292527899</c:v>
                </c:pt>
                <c:pt idx="16">
                  <c:v>37819.145777261772</c:v>
                </c:pt>
                <c:pt idx="17">
                  <c:v>40047.306600758762</c:v>
                </c:pt>
                <c:pt idx="18">
                  <c:v>42194.310459068496</c:v>
                </c:pt>
                <c:pt idx="19">
                  <c:v>45163.485554793275</c:v>
                </c:pt>
                <c:pt idx="20">
                  <c:v>47642.79428407245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51-40A9-B8C8-DD6E3F7C80B9}"/>
            </c:ext>
          </c:extLst>
        </c:ser>
        <c:ser>
          <c:idx val="0"/>
          <c:order val="6"/>
          <c:tx>
            <c:strRef>
              <c:f>Vergleich!$I$2</c:f>
              <c:strCache>
                <c:ptCount val="1"/>
                <c:pt idx="0">
                  <c:v>Mythos norm (€)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Vergleich!$I$3:$I$24</c:f>
              <c:numCache>
                <c:formatCode>#,##0</c:formatCode>
                <c:ptCount val="22"/>
                <c:pt idx="0">
                  <c:v>0</c:v>
                </c:pt>
                <c:pt idx="1">
                  <c:v>8008.0810450070085</c:v>
                </c:pt>
                <c:pt idx="2">
                  <c:v>16016.162090014017</c:v>
                </c:pt>
                <c:pt idx="3">
                  <c:v>24024.243135021028</c:v>
                </c:pt>
                <c:pt idx="4">
                  <c:v>26153.174071964302</c:v>
                </c:pt>
                <c:pt idx="5">
                  <c:v>28282.10500890758</c:v>
                </c:pt>
                <c:pt idx="6">
                  <c:v>30411.035945850857</c:v>
                </c:pt>
                <c:pt idx="7">
                  <c:v>32539.966882794135</c:v>
                </c:pt>
                <c:pt idx="8">
                  <c:v>34668.897819737409</c:v>
                </c:pt>
                <c:pt idx="9">
                  <c:v>36797.828756680683</c:v>
                </c:pt>
                <c:pt idx="10">
                  <c:v>38926.759693623957</c:v>
                </c:pt>
                <c:pt idx="11">
                  <c:v>41055.690630567231</c:v>
                </c:pt>
                <c:pt idx="12">
                  <c:v>43184.621567510505</c:v>
                </c:pt>
                <c:pt idx="13">
                  <c:v>45313.552504453779</c:v>
                </c:pt>
                <c:pt idx="14">
                  <c:v>47442.483441397053</c:v>
                </c:pt>
                <c:pt idx="15">
                  <c:v>49571.414378340327</c:v>
                </c:pt>
                <c:pt idx="16">
                  <c:v>51700.345315283601</c:v>
                </c:pt>
                <c:pt idx="17">
                  <c:v>53829.276252226875</c:v>
                </c:pt>
                <c:pt idx="18">
                  <c:v>55958.207189170149</c:v>
                </c:pt>
                <c:pt idx="19">
                  <c:v>58087.138126113423</c:v>
                </c:pt>
                <c:pt idx="20">
                  <c:v>60216.069063056697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51-40A9-B8C8-DD6E3F7C80B9}"/>
            </c:ext>
          </c:extLst>
        </c:ser>
        <c:ser>
          <c:idx val="8"/>
          <c:order val="9"/>
          <c:tx>
            <c:strRef>
              <c:f>Vergleich!$K$2</c:f>
              <c:strCache>
                <c:ptCount val="1"/>
                <c:pt idx="0">
                  <c:v>DSK norm (€)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val>
            <c:numRef>
              <c:f>Vergleich!$K$3:$K$24</c:f>
              <c:numCache>
                <c:formatCode>#,##0</c:formatCode>
                <c:ptCount val="22"/>
                <c:pt idx="0">
                  <c:v>0</c:v>
                </c:pt>
                <c:pt idx="1">
                  <c:v>18321.783592211064</c:v>
                </c:pt>
                <c:pt idx="2">
                  <c:v>21471.044620079439</c:v>
                </c:pt>
                <c:pt idx="3">
                  <c:v>22786.717998191623</c:v>
                </c:pt>
                <c:pt idx="4">
                  <c:v>24137.623639680951</c:v>
                </c:pt>
                <c:pt idx="5">
                  <c:v>25549.934083056156</c:v>
                </c:pt>
                <c:pt idx="6">
                  <c:v>27093.107218975038</c:v>
                </c:pt>
                <c:pt idx="7">
                  <c:v>28176.247658798078</c:v>
                </c:pt>
                <c:pt idx="8">
                  <c:v>29592.58464655924</c:v>
                </c:pt>
                <c:pt idx="9">
                  <c:v>31860.032453902542</c:v>
                </c:pt>
                <c:pt idx="10">
                  <c:v>33546.147915522975</c:v>
                </c:pt>
                <c:pt idx="11">
                  <c:v>35065.161785126103</c:v>
                </c:pt>
                <c:pt idx="12">
                  <c:v>35879.530387186358</c:v>
                </c:pt>
                <c:pt idx="13">
                  <c:v>37285.297695934387</c:v>
                </c:pt>
                <c:pt idx="14">
                  <c:v>37955.717336196598</c:v>
                </c:pt>
                <c:pt idx="15">
                  <c:v>38763.542803629673</c:v>
                </c:pt>
                <c:pt idx="16">
                  <c:v>40290.106443956465</c:v>
                </c:pt>
                <c:pt idx="17">
                  <c:v>43704.616083249915</c:v>
                </c:pt>
                <c:pt idx="18">
                  <c:v>46292.174169276972</c:v>
                </c:pt>
                <c:pt idx="19">
                  <c:v>50920.686940937128</c:v>
                </c:pt>
                <c:pt idx="20">
                  <c:v>54792.209368036936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251-40A9-B8C8-DD6E3F7C80B9}"/>
            </c:ext>
          </c:extLst>
        </c:ser>
        <c:ser>
          <c:idx val="10"/>
          <c:order val="10"/>
          <c:tx>
            <c:strRef>
              <c:f>Vergleich!$M$2</c:f>
              <c:strCache>
                <c:ptCount val="1"/>
                <c:pt idx="0">
                  <c:v>Mythen norm (€)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Vergleich!$M$3:$M$24</c:f>
              <c:numCache>
                <c:formatCode>#,##0</c:formatCode>
                <c:ptCount val="22"/>
                <c:pt idx="0">
                  <c:v>0</c:v>
                </c:pt>
                <c:pt idx="1">
                  <c:v>13585.517272030311</c:v>
                </c:pt>
                <c:pt idx="2">
                  <c:v>16993.672736969591</c:v>
                </c:pt>
                <c:pt idx="3">
                  <c:v>19168.103632181865</c:v>
                </c:pt>
                <c:pt idx="4">
                  <c:v>21005.875268052576</c:v>
                </c:pt>
                <c:pt idx="5">
                  <c:v>22597.040532882966</c:v>
                </c:pt>
                <c:pt idx="6">
                  <c:v>25963.633126298595</c:v>
                </c:pt>
                <c:pt idx="7">
                  <c:v>27863.056354929391</c:v>
                </c:pt>
                <c:pt idx="8">
                  <c:v>30317.343918400908</c:v>
                </c:pt>
                <c:pt idx="9">
                  <c:v>31844.779446895034</c:v>
                </c:pt>
                <c:pt idx="10">
                  <c:v>33841.182709081011</c:v>
                </c:pt>
                <c:pt idx="11">
                  <c:v>34832.457194920054</c:v>
                </c:pt>
                <c:pt idx="12">
                  <c:v>37557.596137820692</c:v>
                </c:pt>
                <c:pt idx="13">
                  <c:v>38504.536894034507</c:v>
                </c:pt>
                <c:pt idx="14">
                  <c:v>39940.534105176608</c:v>
                </c:pt>
                <c:pt idx="15">
                  <c:v>40976.835035166274</c:v>
                </c:pt>
                <c:pt idx="16">
                  <c:v>42838.851679425781</c:v>
                </c:pt>
                <c:pt idx="17">
                  <c:v>44512.449972778079</c:v>
                </c:pt>
                <c:pt idx="18">
                  <c:v>46238.001855534945</c:v>
                </c:pt>
                <c:pt idx="19">
                  <c:v>49482.676692481196</c:v>
                </c:pt>
                <c:pt idx="20">
                  <c:v>54719.598504461064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4-487C-B806-F0C4AB4B9284}"/>
            </c:ext>
          </c:extLst>
        </c:ser>
        <c:ser>
          <c:idx val="12"/>
          <c:order val="12"/>
          <c:tx>
            <c:v>SOK norm (€)</c:v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val>
            <c:numRef>
              <c:f>Vergleich!$O$3:$O$24</c:f>
              <c:numCache>
                <c:formatCode>#,##0</c:formatCode>
                <c:ptCount val="22"/>
                <c:pt idx="0">
                  <c:v>0</c:v>
                </c:pt>
                <c:pt idx="1">
                  <c:v>23389.670781979032</c:v>
                </c:pt>
                <c:pt idx="2">
                  <c:v>29715.190707727812</c:v>
                </c:pt>
                <c:pt idx="3">
                  <c:v>31934.909171864809</c:v>
                </c:pt>
                <c:pt idx="4">
                  <c:v>33260.328193722096</c:v>
                </c:pt>
                <c:pt idx="5">
                  <c:v>34216.923633292638</c:v>
                </c:pt>
                <c:pt idx="6">
                  <c:v>35342.682680569254</c:v>
                </c:pt>
                <c:pt idx="7">
                  <c:v>38393.361978861816</c:v>
                </c:pt>
                <c:pt idx="8">
                  <c:v>40180.657599879589</c:v>
                </c:pt>
                <c:pt idx="9">
                  <c:v>41350.466954863958</c:v>
                </c:pt>
                <c:pt idx="10">
                  <c:v>42536.958083181431</c:v>
                </c:pt>
                <c:pt idx="11">
                  <c:v>43373.913929628579</c:v>
                </c:pt>
                <c:pt idx="12">
                  <c:v>44253.616820241819</c:v>
                </c:pt>
                <c:pt idx="13">
                  <c:v>44945.9104135659</c:v>
                </c:pt>
                <c:pt idx="14">
                  <c:v>46038.82721959296</c:v>
                </c:pt>
                <c:pt idx="15">
                  <c:v>49073.867355385722</c:v>
                </c:pt>
                <c:pt idx="16">
                  <c:v>50374.785022659999</c:v>
                </c:pt>
                <c:pt idx="17">
                  <c:v>51677.266606184254</c:v>
                </c:pt>
                <c:pt idx="18">
                  <c:v>52943.517463250668</c:v>
                </c:pt>
                <c:pt idx="19">
                  <c:v>55306.855569677406</c:v>
                </c:pt>
                <c:pt idx="20">
                  <c:v>57577.401311938731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38-4F48-9EE1-DAC7BB3A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44864"/>
        <c:axId val="502641912"/>
      </c:lineChart>
      <c:lineChart>
        <c:grouping val="standard"/>
        <c:varyColors val="0"/>
        <c:ser>
          <c:idx val="2"/>
          <c:order val="1"/>
          <c:tx>
            <c:strRef>
              <c:f>Vergleich!$D$2</c:f>
              <c:strCache>
                <c:ptCount val="1"/>
                <c:pt idx="0">
                  <c:v>Nedime (Backer)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Vergleich!$D$3:$D$24</c:f>
              <c:numCache>
                <c:formatCode>#,##0</c:formatCode>
                <c:ptCount val="22"/>
                <c:pt idx="0">
                  <c:v>0</c:v>
                </c:pt>
                <c:pt idx="1">
                  <c:v>73</c:v>
                </c:pt>
                <c:pt idx="2">
                  <c:v>82</c:v>
                </c:pt>
                <c:pt idx="3">
                  <c:v>90</c:v>
                </c:pt>
                <c:pt idx="4">
                  <c:v>95</c:v>
                </c:pt>
                <c:pt idx="5">
                  <c:v>111</c:v>
                </c:pt>
                <c:pt idx="6">
                  <c:v>114.99999999999999</c:v>
                </c:pt>
                <c:pt idx="7">
                  <c:v>124</c:v>
                </c:pt>
                <c:pt idx="8">
                  <c:v>136</c:v>
                </c:pt>
                <c:pt idx="9">
                  <c:v>142</c:v>
                </c:pt>
                <c:pt idx="10">
                  <c:v>161</c:v>
                </c:pt>
                <c:pt idx="11">
                  <c:v>178</c:v>
                </c:pt>
                <c:pt idx="12">
                  <c:v>193</c:v>
                </c:pt>
                <c:pt idx="13">
                  <c:v>197</c:v>
                </c:pt>
                <c:pt idx="14">
                  <c:v>205</c:v>
                </c:pt>
                <c:pt idx="15">
                  <c:v>214</c:v>
                </c:pt>
                <c:pt idx="16">
                  <c:v>224</c:v>
                </c:pt>
                <c:pt idx="17">
                  <c:v>233</c:v>
                </c:pt>
                <c:pt idx="18">
                  <c:v>250</c:v>
                </c:pt>
                <c:pt idx="19">
                  <c:v>267</c:v>
                </c:pt>
                <c:pt idx="20">
                  <c:v>300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51-40A9-B8C8-DD6E3F7C80B9}"/>
            </c:ext>
          </c:extLst>
        </c:ser>
        <c:ser>
          <c:idx val="4"/>
          <c:order val="3"/>
          <c:tx>
            <c:strRef>
              <c:f>Vergleich!$F$2</c:f>
              <c:strCache>
                <c:ptCount val="1"/>
                <c:pt idx="0">
                  <c:v>Thorwal norm (Backer)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Vergleich!$F$3:$F$24</c:f>
              <c:numCache>
                <c:formatCode>#,##0</c:formatCode>
                <c:ptCount val="22"/>
                <c:pt idx="0">
                  <c:v>0</c:v>
                </c:pt>
                <c:pt idx="1">
                  <c:v>110.36895674300254</c:v>
                </c:pt>
                <c:pt idx="2">
                  <c:v>119.19847328244275</c:v>
                </c:pt>
                <c:pt idx="3">
                  <c:v>128.02798982188295</c:v>
                </c:pt>
                <c:pt idx="4">
                  <c:v>136.85750636132315</c:v>
                </c:pt>
                <c:pt idx="5">
                  <c:v>145.68702290076334</c:v>
                </c:pt>
                <c:pt idx="6">
                  <c:v>154.51653944020353</c:v>
                </c:pt>
                <c:pt idx="7">
                  <c:v>163.34605597964372</c:v>
                </c:pt>
                <c:pt idx="8">
                  <c:v>172.17557251908391</c:v>
                </c:pt>
                <c:pt idx="9">
                  <c:v>181.00508905852411</c:v>
                </c:pt>
                <c:pt idx="10">
                  <c:v>189.8346055979643</c:v>
                </c:pt>
                <c:pt idx="11">
                  <c:v>198.66412213740458</c:v>
                </c:pt>
                <c:pt idx="12">
                  <c:v>213.4977099236641</c:v>
                </c:pt>
                <c:pt idx="13">
                  <c:v>228.33129770992366</c:v>
                </c:pt>
                <c:pt idx="14">
                  <c:v>243.16488549618322</c:v>
                </c:pt>
                <c:pt idx="15">
                  <c:v>257.99847328244277</c:v>
                </c:pt>
                <c:pt idx="16">
                  <c:v>272.83206106870233</c:v>
                </c:pt>
                <c:pt idx="17">
                  <c:v>287.66564885496189</c:v>
                </c:pt>
                <c:pt idx="18">
                  <c:v>302.49923664122144</c:v>
                </c:pt>
                <c:pt idx="19">
                  <c:v>317.332824427481</c:v>
                </c:pt>
                <c:pt idx="20">
                  <c:v>332.16641221374056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51-40A9-B8C8-DD6E3F7C80B9}"/>
            </c:ext>
          </c:extLst>
        </c:ser>
        <c:ser>
          <c:idx val="6"/>
          <c:order val="5"/>
          <c:tx>
            <c:strRef>
              <c:f>Vergleich!$H$2</c:f>
              <c:strCache>
                <c:ptCount val="1"/>
                <c:pt idx="0">
                  <c:v>Werkzeuge norm (Backer)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Vergleich!$H$3:$H$24</c:f>
              <c:numCache>
                <c:formatCode>#,##0</c:formatCode>
                <c:ptCount val="22"/>
                <c:pt idx="0">
                  <c:v>0</c:v>
                </c:pt>
                <c:pt idx="1">
                  <c:v>82.160052910052912</c:v>
                </c:pt>
                <c:pt idx="2">
                  <c:v>94.55291005291005</c:v>
                </c:pt>
                <c:pt idx="3">
                  <c:v>102.81481481481481</c:v>
                </c:pt>
                <c:pt idx="4">
                  <c:v>113.37169312169313</c:v>
                </c:pt>
                <c:pt idx="5">
                  <c:v>121.17460317460316</c:v>
                </c:pt>
                <c:pt idx="6">
                  <c:v>125.76455026455027</c:v>
                </c:pt>
                <c:pt idx="7">
                  <c:v>135.40343915343917</c:v>
                </c:pt>
                <c:pt idx="8">
                  <c:v>141.37037037037035</c:v>
                </c:pt>
                <c:pt idx="9">
                  <c:v>151.00925925925927</c:v>
                </c:pt>
                <c:pt idx="10">
                  <c:v>160.64814814814815</c:v>
                </c:pt>
                <c:pt idx="11">
                  <c:v>163.40211640211641</c:v>
                </c:pt>
                <c:pt idx="12">
                  <c:v>170.28703703703704</c:v>
                </c:pt>
                <c:pt idx="13">
                  <c:v>177.17195767195767</c:v>
                </c:pt>
                <c:pt idx="14">
                  <c:v>184.97486772486772</c:v>
                </c:pt>
                <c:pt idx="15">
                  <c:v>193.69576719576722</c:v>
                </c:pt>
                <c:pt idx="16">
                  <c:v>204.25264550264549</c:v>
                </c:pt>
                <c:pt idx="17">
                  <c:v>216.18650793650795</c:v>
                </c:pt>
                <c:pt idx="18">
                  <c:v>229.95634920634919</c:v>
                </c:pt>
                <c:pt idx="19">
                  <c:v>246.48015873015873</c:v>
                </c:pt>
                <c:pt idx="20">
                  <c:v>264.38095238095235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251-40A9-B8C8-DD6E3F7C80B9}"/>
            </c:ext>
          </c:extLst>
        </c:ser>
        <c:ser>
          <c:idx val="7"/>
          <c:order val="7"/>
          <c:tx>
            <c:strRef>
              <c:f>Vergleich!$J$2</c:f>
              <c:strCache>
                <c:ptCount val="1"/>
                <c:pt idx="0">
                  <c:v>Mythos norm (Backer)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Vergleich!$J$3:$J$24</c:f>
              <c:numCache>
                <c:formatCode>#,##0</c:formatCode>
                <c:ptCount val="22"/>
                <c:pt idx="0">
                  <c:v>0</c:v>
                </c:pt>
                <c:pt idx="1">
                  <c:v>48.804500703234879</c:v>
                </c:pt>
                <c:pt idx="2">
                  <c:v>97.609001406469758</c:v>
                </c:pt>
                <c:pt idx="3">
                  <c:v>146.41350210970464</c:v>
                </c:pt>
                <c:pt idx="4">
                  <c:v>157.55719643694326</c:v>
                </c:pt>
                <c:pt idx="5">
                  <c:v>168.70089076418188</c:v>
                </c:pt>
                <c:pt idx="6">
                  <c:v>179.84458509142053</c:v>
                </c:pt>
                <c:pt idx="7">
                  <c:v>190.98827941865915</c:v>
                </c:pt>
                <c:pt idx="8">
                  <c:v>202.13197374589777</c:v>
                </c:pt>
                <c:pt idx="9">
                  <c:v>213.27566807313639</c:v>
                </c:pt>
                <c:pt idx="10">
                  <c:v>224.41936240037501</c:v>
                </c:pt>
                <c:pt idx="11">
                  <c:v>235.56305672761363</c:v>
                </c:pt>
                <c:pt idx="12">
                  <c:v>246.70675105485225</c:v>
                </c:pt>
                <c:pt idx="13">
                  <c:v>257.85044538209087</c:v>
                </c:pt>
                <c:pt idx="14">
                  <c:v>268.99413970932949</c:v>
                </c:pt>
                <c:pt idx="15">
                  <c:v>280.13783403656817</c:v>
                </c:pt>
                <c:pt idx="16">
                  <c:v>291.28152836380679</c:v>
                </c:pt>
                <c:pt idx="17">
                  <c:v>302.42522269104546</c:v>
                </c:pt>
                <c:pt idx="18">
                  <c:v>313.56891701828408</c:v>
                </c:pt>
                <c:pt idx="19">
                  <c:v>324.71261134552276</c:v>
                </c:pt>
                <c:pt idx="20">
                  <c:v>335.85630567276144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51-40A9-B8C8-DD6E3F7C80B9}"/>
            </c:ext>
          </c:extLst>
        </c:ser>
        <c:ser>
          <c:idx val="9"/>
          <c:order val="8"/>
          <c:tx>
            <c:strRef>
              <c:f>Vergleich!$L$2</c:f>
              <c:strCache>
                <c:ptCount val="1"/>
                <c:pt idx="0">
                  <c:v>DSK norm (Backer)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Vergleich!$L$3:$L$24</c:f>
              <c:numCache>
                <c:formatCode>#,##0</c:formatCode>
                <c:ptCount val="22"/>
                <c:pt idx="0">
                  <c:v>0</c:v>
                </c:pt>
                <c:pt idx="1">
                  <c:v>103.14786585365853</c:v>
                </c:pt>
                <c:pt idx="2">
                  <c:v>123.24847560975608</c:v>
                </c:pt>
                <c:pt idx="3">
                  <c:v>131.1829268292683</c:v>
                </c:pt>
                <c:pt idx="4">
                  <c:v>139.64634146341464</c:v>
                </c:pt>
                <c:pt idx="5">
                  <c:v>148.10975609756096</c:v>
                </c:pt>
                <c:pt idx="6">
                  <c:v>155.51524390243904</c:v>
                </c:pt>
                <c:pt idx="7">
                  <c:v>162.92073170731706</c:v>
                </c:pt>
                <c:pt idx="8">
                  <c:v>171.91310975609755</c:v>
                </c:pt>
                <c:pt idx="9">
                  <c:v>185.13719512195124</c:v>
                </c:pt>
                <c:pt idx="10">
                  <c:v>195.1875</c:v>
                </c:pt>
                <c:pt idx="11">
                  <c:v>204.17987804878047</c:v>
                </c:pt>
                <c:pt idx="12">
                  <c:v>208.94054878048783</c:v>
                </c:pt>
                <c:pt idx="13">
                  <c:v>216.875</c:v>
                </c:pt>
                <c:pt idx="14">
                  <c:v>220.57774390243901</c:v>
                </c:pt>
                <c:pt idx="15">
                  <c:v>225.86737804878047</c:v>
                </c:pt>
                <c:pt idx="16">
                  <c:v>234.85975609756099</c:v>
                </c:pt>
                <c:pt idx="17">
                  <c:v>257.60518292682929</c:v>
                </c:pt>
                <c:pt idx="18">
                  <c:v>271.88719512195121</c:v>
                </c:pt>
                <c:pt idx="19">
                  <c:v>290.40091463414637</c:v>
                </c:pt>
                <c:pt idx="20">
                  <c:v>308.91463414634148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251-40A9-B8C8-DD6E3F7C80B9}"/>
            </c:ext>
          </c:extLst>
        </c:ser>
        <c:ser>
          <c:idx val="11"/>
          <c:order val="11"/>
          <c:tx>
            <c:strRef>
              <c:f>Vergleich!$N$2</c:f>
              <c:strCache>
                <c:ptCount val="1"/>
                <c:pt idx="0">
                  <c:v>Mythen norm (Backer)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Vergleich!$N$3:$N$24</c:f>
              <c:numCache>
                <c:formatCode>#,##0</c:formatCode>
                <c:ptCount val="22"/>
                <c:pt idx="0">
                  <c:v>0</c:v>
                </c:pt>
                <c:pt idx="1">
                  <c:v>80.453629032258064</c:v>
                </c:pt>
                <c:pt idx="2">
                  <c:v>101.44153225806453</c:v>
                </c:pt>
                <c:pt idx="3">
                  <c:v>113.33467741935483</c:v>
                </c:pt>
                <c:pt idx="4">
                  <c:v>124.52822580645162</c:v>
                </c:pt>
                <c:pt idx="5">
                  <c:v>133.62298387096774</c:v>
                </c:pt>
                <c:pt idx="6">
                  <c:v>153.91129032258064</c:v>
                </c:pt>
                <c:pt idx="7">
                  <c:v>165.10483870967744</c:v>
                </c:pt>
                <c:pt idx="8">
                  <c:v>176.99798387096777</c:v>
                </c:pt>
                <c:pt idx="9">
                  <c:v>186.79233870967744</c:v>
                </c:pt>
                <c:pt idx="10">
                  <c:v>197.28629032258067</c:v>
                </c:pt>
                <c:pt idx="11">
                  <c:v>203.58266129032256</c:v>
                </c:pt>
                <c:pt idx="12">
                  <c:v>217.57459677419357</c:v>
                </c:pt>
                <c:pt idx="13">
                  <c:v>223.17137096774195</c:v>
                </c:pt>
                <c:pt idx="14">
                  <c:v>230.86693548387095</c:v>
                </c:pt>
                <c:pt idx="15">
                  <c:v>235.76411290322582</c:v>
                </c:pt>
                <c:pt idx="16">
                  <c:v>244.15927419354838</c:v>
                </c:pt>
                <c:pt idx="17">
                  <c:v>253.95362903225805</c:v>
                </c:pt>
                <c:pt idx="18">
                  <c:v>263.74798387096774</c:v>
                </c:pt>
                <c:pt idx="19">
                  <c:v>280.53830645161293</c:v>
                </c:pt>
                <c:pt idx="20">
                  <c:v>307.82258064516128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E4-487C-B806-F0C4AB4B9284}"/>
            </c:ext>
          </c:extLst>
        </c:ser>
        <c:ser>
          <c:idx val="13"/>
          <c:order val="13"/>
          <c:tx>
            <c:v>SOK norm (Backer)</c:v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Vergleich!$P$3:$P$24</c:f>
              <c:numCache>
                <c:formatCode>#,##0</c:formatCode>
                <c:ptCount val="22"/>
                <c:pt idx="0">
                  <c:v>0</c:v>
                </c:pt>
                <c:pt idx="1">
                  <c:v>130.33353365384616</c:v>
                </c:pt>
                <c:pt idx="2">
                  <c:v>164.53305288461539</c:v>
                </c:pt>
                <c:pt idx="3">
                  <c:v>177.67067307692307</c:v>
                </c:pt>
                <c:pt idx="4">
                  <c:v>185.80348557692307</c:v>
                </c:pt>
                <c:pt idx="5">
                  <c:v>191.43389423076923</c:v>
                </c:pt>
                <c:pt idx="6">
                  <c:v>198.73257211538461</c:v>
                </c:pt>
                <c:pt idx="7">
                  <c:v>217.70913461538461</c:v>
                </c:pt>
                <c:pt idx="8">
                  <c:v>226.05048076923077</c:v>
                </c:pt>
                <c:pt idx="9">
                  <c:v>231.88942307692307</c:v>
                </c:pt>
                <c:pt idx="10">
                  <c:v>237.72836538461539</c:v>
                </c:pt>
                <c:pt idx="11">
                  <c:v>242.52463942307693</c:v>
                </c:pt>
                <c:pt idx="12">
                  <c:v>247.94651442307693</c:v>
                </c:pt>
                <c:pt idx="13">
                  <c:v>251.28305288461539</c:v>
                </c:pt>
                <c:pt idx="14">
                  <c:v>256.91346153846155</c:v>
                </c:pt>
                <c:pt idx="15">
                  <c:v>273.8046875</c:v>
                </c:pt>
                <c:pt idx="16">
                  <c:v>281.52043269230768</c:v>
                </c:pt>
                <c:pt idx="17">
                  <c:v>288.61057692307696</c:v>
                </c:pt>
                <c:pt idx="18">
                  <c:v>295.90925480769232</c:v>
                </c:pt>
                <c:pt idx="19">
                  <c:v>309.25540865384619</c:v>
                </c:pt>
                <c:pt idx="20">
                  <c:v>322.18449519230768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38-4F48-9EE1-DAC7BB3A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08600"/>
        <c:axId val="568508928"/>
      </c:lineChart>
      <c:catAx>
        <c:axId val="50264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2641912"/>
        <c:crosses val="autoZero"/>
        <c:auto val="1"/>
        <c:lblAlgn val="ctr"/>
        <c:lblOffset val="100"/>
        <c:noMultiLvlLbl val="0"/>
      </c:catAx>
      <c:valAx>
        <c:axId val="502641912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2644864"/>
        <c:crosses val="autoZero"/>
        <c:crossBetween val="between"/>
        <c:majorUnit val="5000"/>
      </c:valAx>
      <c:valAx>
        <c:axId val="568508928"/>
        <c:scaling>
          <c:orientation val="minMax"/>
          <c:max val="7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8508600"/>
        <c:crosses val="max"/>
        <c:crossBetween val="between"/>
        <c:majorUnit val="50"/>
      </c:valAx>
      <c:catAx>
        <c:axId val="568508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8508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4.jpeg"/><Relationship Id="rId5" Type="http://schemas.openxmlformats.org/officeDocument/2006/relationships/image" Target="../media/image3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60854</xdr:colOff>
      <xdr:row>203</xdr:row>
      <xdr:rowOff>56885</xdr:rowOff>
    </xdr:from>
    <xdr:to>
      <xdr:col>12</xdr:col>
      <xdr:colOff>0</xdr:colOff>
      <xdr:row>210</xdr:row>
      <xdr:rowOff>99219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2A2DF1A-BAA4-4851-AB48-5B80266E9280}"/>
            </a:ext>
          </a:extLst>
        </xdr:cNvPr>
        <xdr:cNvSpPr txBox="1"/>
      </xdr:nvSpPr>
      <xdr:spPr>
        <a:xfrm>
          <a:off x="144198" y="30739291"/>
          <a:ext cx="16652875" cy="1542522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 baseline="0"/>
            <a:t>Dieser Einkaufsführer ist eine rein private Geschichte und </a:t>
          </a:r>
          <a:r>
            <a:rPr lang="de-DE" sz="1400" b="1" u="sng" baseline="0"/>
            <a:t>ohne Gewähr</a:t>
          </a:r>
          <a:r>
            <a:rPr lang="de-DE" sz="1400" b="1" baseline="0"/>
            <a:t> auf Vollständigkeit und 100%ige Korrektheit!</a:t>
          </a:r>
        </a:p>
        <a:p>
          <a:endParaRPr lang="de-DE" sz="800" b="1" baseline="0"/>
        </a:p>
        <a:p>
          <a:r>
            <a:rPr lang="de-DE" sz="1400" b="1" baseline="0"/>
            <a:t>Bei Fehlern meinerseits ist NICHT Ulisses dafür verantwortlich zu machen! Und ich bitte auch nicht ;)</a:t>
          </a:r>
        </a:p>
        <a:p>
          <a:r>
            <a:rPr lang="de-DE" sz="1400" b="1" baseline="0"/>
            <a:t>Ihr dürft mir Fehler aber sehr gerne in den CF-Kommentaren, in meinem Blog oder Discord, bei Facebook oder im Orkenspalter-Forum melden!</a:t>
          </a:r>
        </a:p>
        <a:p>
          <a:endParaRPr lang="de-DE" sz="800" b="1" baseline="0"/>
        </a:p>
        <a:p>
          <a:r>
            <a:rPr lang="de-DE" sz="1400" b="1" baseline="0"/>
            <a:t>Und nun gemeinsam auf ins Abenteuer!</a:t>
          </a:r>
        </a:p>
        <a:p>
          <a:r>
            <a:rPr lang="de-DE" sz="1400" b="1"/>
            <a:t>Euer GTStar	von Hinter dem Auge</a:t>
          </a:r>
          <a:r>
            <a:rPr lang="de-DE" sz="1400" b="1" baseline="0"/>
            <a:t> ...der DSA-Info-Podcast / DSA-Fantalk / DSA-Nachrichten in 1W20 Minuten / etc.</a:t>
          </a:r>
          <a:r>
            <a:rPr lang="de-DE" sz="1400" b="1"/>
            <a:t>					</a:t>
          </a:r>
          <a:r>
            <a:rPr lang="de-DE" sz="300" b="1"/>
            <a:t>Wer das liest ist neugierig ;)</a:t>
          </a:r>
        </a:p>
      </xdr:txBody>
    </xdr:sp>
    <xdr:clientData/>
  </xdr:twoCellAnchor>
  <xdr:twoCellAnchor>
    <xdr:from>
      <xdr:col>1</xdr:col>
      <xdr:colOff>71436</xdr:colOff>
      <xdr:row>179</xdr:row>
      <xdr:rowOff>105832</xdr:rowOff>
    </xdr:from>
    <xdr:to>
      <xdr:col>3</xdr:col>
      <xdr:colOff>1369218</xdr:colOff>
      <xdr:row>202</xdr:row>
      <xdr:rowOff>107155</xdr:rowOff>
    </xdr:to>
    <xdr:graphicFrame macro="">
      <xdr:nvGraphicFramePr>
        <xdr:cNvPr id="44" name="Diagramm 43">
          <a:extLst>
            <a:ext uri="{FF2B5EF4-FFF2-40B4-BE49-F238E27FC236}">
              <a16:creationId xmlns:a16="http://schemas.microsoft.com/office/drawing/2014/main" id="{A89B5485-9BAF-4F11-ABE9-4732FBF57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472848</xdr:colOff>
      <xdr:row>10</xdr:row>
      <xdr:rowOff>402165</xdr:rowOff>
    </xdr:from>
    <xdr:ext cx="317392" cy="317392"/>
    <xdr:pic>
      <xdr:nvPicPr>
        <xdr:cNvPr id="39" name="Grafik 38" descr="campaign image 6">
          <a:extLst>
            <a:ext uri="{FF2B5EF4-FFF2-40B4-BE49-F238E27FC236}">
              <a16:creationId xmlns:a16="http://schemas.microsoft.com/office/drawing/2014/main" id="{EDDDD127-9574-4967-97C5-5CE95902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7598" y="2288115"/>
          <a:ext cx="317392" cy="31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87841</xdr:colOff>
      <xdr:row>10</xdr:row>
      <xdr:rowOff>398688</xdr:rowOff>
    </xdr:from>
    <xdr:to>
      <xdr:col>7</xdr:col>
      <xdr:colOff>408227</xdr:colOff>
      <xdr:row>11</xdr:row>
      <xdr:rowOff>260526</xdr:rowOff>
    </xdr:to>
    <xdr:pic>
      <xdr:nvPicPr>
        <xdr:cNvPr id="40" name="Grafik 39" descr="Loddari">
          <a:extLst>
            <a:ext uri="{FF2B5EF4-FFF2-40B4-BE49-F238E27FC236}">
              <a16:creationId xmlns:a16="http://schemas.microsoft.com/office/drawing/2014/main" id="{CED83DD0-D8EC-42AA-957C-FD07C6A5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2591" y="2284638"/>
          <a:ext cx="320386" cy="319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1297780</xdr:colOff>
      <xdr:row>73</xdr:row>
      <xdr:rowOff>178593</xdr:rowOff>
    </xdr:from>
    <xdr:ext cx="317392" cy="317392"/>
    <xdr:pic>
      <xdr:nvPicPr>
        <xdr:cNvPr id="49" name="Grafik 48" descr="campaign image 6">
          <a:extLst>
            <a:ext uri="{FF2B5EF4-FFF2-40B4-BE49-F238E27FC236}">
              <a16:creationId xmlns:a16="http://schemas.microsoft.com/office/drawing/2014/main" id="{C42BDB7D-E636-4967-A691-8812A1FE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530" y="9203531"/>
          <a:ext cx="317392" cy="31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58</xdr:col>
      <xdr:colOff>196453</xdr:colOff>
      <xdr:row>224</xdr:row>
      <xdr:rowOff>152399</xdr:rowOff>
    </xdr:from>
    <xdr:to>
      <xdr:col>72</xdr:col>
      <xdr:colOff>523875</xdr:colOff>
      <xdr:row>267</xdr:row>
      <xdr:rowOff>11906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027FC00-2D44-44A3-9880-9030337EC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472848</xdr:colOff>
      <xdr:row>10</xdr:row>
      <xdr:rowOff>392640</xdr:rowOff>
    </xdr:from>
    <xdr:ext cx="317392" cy="317392"/>
    <xdr:pic>
      <xdr:nvPicPr>
        <xdr:cNvPr id="16" name="Grafik 15" descr="campaign image 6">
          <a:extLst>
            <a:ext uri="{FF2B5EF4-FFF2-40B4-BE49-F238E27FC236}">
              <a16:creationId xmlns:a16="http://schemas.microsoft.com/office/drawing/2014/main" id="{C47511E2-D98F-46F9-9863-B194020B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6273" y="2278590"/>
          <a:ext cx="317392" cy="31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68791</xdr:colOff>
      <xdr:row>10</xdr:row>
      <xdr:rowOff>398688</xdr:rowOff>
    </xdr:from>
    <xdr:ext cx="320386" cy="315864"/>
    <xdr:pic>
      <xdr:nvPicPr>
        <xdr:cNvPr id="17" name="Grafik 16" descr="Loddari">
          <a:extLst>
            <a:ext uri="{FF2B5EF4-FFF2-40B4-BE49-F238E27FC236}">
              <a16:creationId xmlns:a16="http://schemas.microsoft.com/office/drawing/2014/main" id="{BCE75B0C-79E2-4638-A4D7-190FDB6D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2216" y="2284638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253773</xdr:colOff>
      <xdr:row>10</xdr:row>
      <xdr:rowOff>402165</xdr:rowOff>
    </xdr:from>
    <xdr:ext cx="317392" cy="317392"/>
    <xdr:pic>
      <xdr:nvPicPr>
        <xdr:cNvPr id="18" name="Grafik 17" descr="campaign image 6">
          <a:extLst>
            <a:ext uri="{FF2B5EF4-FFF2-40B4-BE49-F238E27FC236}">
              <a16:creationId xmlns:a16="http://schemas.microsoft.com/office/drawing/2014/main" id="{113C6E64-C1F7-49D0-AC01-E93E0D67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1173" y="2278590"/>
          <a:ext cx="317392" cy="31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9</xdr:col>
      <xdr:colOff>243417</xdr:colOff>
      <xdr:row>11</xdr:row>
      <xdr:rowOff>274109</xdr:rowOff>
    </xdr:from>
    <xdr:to>
      <xdr:col>9</xdr:col>
      <xdr:colOff>555146</xdr:colOff>
      <xdr:row>11</xdr:row>
      <xdr:rowOff>585838</xdr:rowOff>
    </xdr:to>
    <xdr:pic>
      <xdr:nvPicPr>
        <xdr:cNvPr id="20" name="Grafik 19" descr="campaign image 7">
          <a:extLst>
            <a:ext uri="{FF2B5EF4-FFF2-40B4-BE49-F238E27FC236}">
              <a16:creationId xmlns:a16="http://schemas.microsoft.com/office/drawing/2014/main" id="{E305F2A3-C620-4037-ADBC-434A236F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6842" y="2626784"/>
          <a:ext cx="311729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425223</xdr:colOff>
      <xdr:row>10</xdr:row>
      <xdr:rowOff>392640</xdr:rowOff>
    </xdr:from>
    <xdr:ext cx="317392" cy="317392"/>
    <xdr:pic>
      <xdr:nvPicPr>
        <xdr:cNvPr id="21" name="Grafik 20" descr="campaign image 6">
          <a:extLst>
            <a:ext uri="{FF2B5EF4-FFF2-40B4-BE49-F238E27FC236}">
              <a16:creationId xmlns:a16="http://schemas.microsoft.com/office/drawing/2014/main" id="{738054E1-EAC6-49E3-A47E-5F0691EA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7323" y="2278590"/>
          <a:ext cx="317392" cy="31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40216</xdr:colOff>
      <xdr:row>10</xdr:row>
      <xdr:rowOff>398688</xdr:rowOff>
    </xdr:from>
    <xdr:ext cx="320386" cy="315864"/>
    <xdr:pic>
      <xdr:nvPicPr>
        <xdr:cNvPr id="22" name="Grafik 21" descr="Loddari">
          <a:extLst>
            <a:ext uri="{FF2B5EF4-FFF2-40B4-BE49-F238E27FC236}">
              <a16:creationId xmlns:a16="http://schemas.microsoft.com/office/drawing/2014/main" id="{4E4AD2F2-0C19-4299-BB79-557A49EA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2316" y="2284638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243417</xdr:colOff>
      <xdr:row>11</xdr:row>
      <xdr:rowOff>274109</xdr:rowOff>
    </xdr:from>
    <xdr:ext cx="311729" cy="311729"/>
    <xdr:pic>
      <xdr:nvPicPr>
        <xdr:cNvPr id="23" name="Grafik 22" descr="campaign image 7">
          <a:extLst>
            <a:ext uri="{FF2B5EF4-FFF2-40B4-BE49-F238E27FC236}">
              <a16:creationId xmlns:a16="http://schemas.microsoft.com/office/drawing/2014/main" id="{C78714EA-A23B-4000-9EC5-C47B143A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5517" y="2626784"/>
          <a:ext cx="311729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425223</xdr:colOff>
      <xdr:row>10</xdr:row>
      <xdr:rowOff>392640</xdr:rowOff>
    </xdr:from>
    <xdr:ext cx="317392" cy="317392"/>
    <xdr:pic>
      <xdr:nvPicPr>
        <xdr:cNvPr id="24" name="Grafik 23" descr="campaign image 6">
          <a:extLst>
            <a:ext uri="{FF2B5EF4-FFF2-40B4-BE49-F238E27FC236}">
              <a16:creationId xmlns:a16="http://schemas.microsoft.com/office/drawing/2014/main" id="{50FF1384-0636-459F-90E9-E3801460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5998" y="2278590"/>
          <a:ext cx="317392" cy="31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40216</xdr:colOff>
      <xdr:row>10</xdr:row>
      <xdr:rowOff>398688</xdr:rowOff>
    </xdr:from>
    <xdr:ext cx="320386" cy="315864"/>
    <xdr:pic>
      <xdr:nvPicPr>
        <xdr:cNvPr id="25" name="Grafik 24" descr="Loddari">
          <a:extLst>
            <a:ext uri="{FF2B5EF4-FFF2-40B4-BE49-F238E27FC236}">
              <a16:creationId xmlns:a16="http://schemas.microsoft.com/office/drawing/2014/main" id="{432B59F2-1A4E-4301-9D16-C6DB5500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0991" y="2284638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243417</xdr:colOff>
      <xdr:row>11</xdr:row>
      <xdr:rowOff>274109</xdr:rowOff>
    </xdr:from>
    <xdr:ext cx="311729" cy="311729"/>
    <xdr:pic>
      <xdr:nvPicPr>
        <xdr:cNvPr id="26" name="Grafik 25" descr="campaign image 7">
          <a:extLst>
            <a:ext uri="{FF2B5EF4-FFF2-40B4-BE49-F238E27FC236}">
              <a16:creationId xmlns:a16="http://schemas.microsoft.com/office/drawing/2014/main" id="{AC35A3A6-073E-4303-93B8-E2EF3AFD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4192" y="2626784"/>
          <a:ext cx="311729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2962805</xdr:colOff>
      <xdr:row>81</xdr:row>
      <xdr:rowOff>188119</xdr:rowOff>
    </xdr:from>
    <xdr:to>
      <xdr:col>2</xdr:col>
      <xdr:colOff>3274534</xdr:colOff>
      <xdr:row>84</xdr:row>
      <xdr:rowOff>49261</xdr:rowOff>
    </xdr:to>
    <xdr:pic>
      <xdr:nvPicPr>
        <xdr:cNvPr id="27" name="Grafik 26" descr="campaign image 7">
          <a:extLst>
            <a:ext uri="{FF2B5EF4-FFF2-40B4-BE49-F238E27FC236}">
              <a16:creationId xmlns:a16="http://schemas.microsoft.com/office/drawing/2014/main" id="{FF0914C2-56B9-40FE-8F22-FF79DA12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555" y="19552444"/>
          <a:ext cx="311729" cy="318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2919413</xdr:colOff>
      <xdr:row>130</xdr:row>
      <xdr:rowOff>180975</xdr:rowOff>
    </xdr:from>
    <xdr:ext cx="320386" cy="315864"/>
    <xdr:pic>
      <xdr:nvPicPr>
        <xdr:cNvPr id="47" name="Grafik 46" descr="Loddari">
          <a:extLst>
            <a:ext uri="{FF2B5EF4-FFF2-40B4-BE49-F238E27FC236}">
              <a16:creationId xmlns:a16="http://schemas.microsoft.com/office/drawing/2014/main" id="{07B648B9-19E8-4DDD-A72F-43548860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3" y="20526375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248702</xdr:colOff>
      <xdr:row>10</xdr:row>
      <xdr:rowOff>398688</xdr:rowOff>
    </xdr:from>
    <xdr:ext cx="320386" cy="315864"/>
    <xdr:pic>
      <xdr:nvPicPr>
        <xdr:cNvPr id="35" name="Grafik 34" descr="Loddari">
          <a:extLst>
            <a:ext uri="{FF2B5EF4-FFF2-40B4-BE49-F238E27FC236}">
              <a16:creationId xmlns:a16="http://schemas.microsoft.com/office/drawing/2014/main" id="{C6E70D87-D40B-493F-8690-FA9090D4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102" y="2284638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472848</xdr:colOff>
      <xdr:row>10</xdr:row>
      <xdr:rowOff>402165</xdr:rowOff>
    </xdr:from>
    <xdr:ext cx="317392" cy="317392"/>
    <xdr:pic>
      <xdr:nvPicPr>
        <xdr:cNvPr id="28" name="Grafik 27" descr="campaign image 6">
          <a:extLst>
            <a:ext uri="{FF2B5EF4-FFF2-40B4-BE49-F238E27FC236}">
              <a16:creationId xmlns:a16="http://schemas.microsoft.com/office/drawing/2014/main" id="{23DBA75A-5D1B-497B-9609-0D669B9C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0248" y="2278590"/>
          <a:ext cx="317392" cy="31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87841</xdr:colOff>
      <xdr:row>10</xdr:row>
      <xdr:rowOff>398688</xdr:rowOff>
    </xdr:from>
    <xdr:ext cx="320386" cy="315864"/>
    <xdr:pic>
      <xdr:nvPicPr>
        <xdr:cNvPr id="29" name="Grafik 28" descr="Loddari">
          <a:extLst>
            <a:ext uri="{FF2B5EF4-FFF2-40B4-BE49-F238E27FC236}">
              <a16:creationId xmlns:a16="http://schemas.microsoft.com/office/drawing/2014/main" id="{787F8ED3-24F0-49B7-80D1-BFE7599C1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5241" y="2275113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1390650</xdr:colOff>
      <xdr:row>7</xdr:row>
      <xdr:rowOff>113096</xdr:rowOff>
    </xdr:from>
    <xdr:to>
      <xdr:col>2</xdr:col>
      <xdr:colOff>5615984</xdr:colOff>
      <xdr:row>12</xdr:row>
      <xdr:rowOff>38099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41DCDF4-F3F1-4967-9C77-609ACFF4C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1818071"/>
          <a:ext cx="4225334" cy="2372928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7</xdr:row>
      <xdr:rowOff>47625</xdr:rowOff>
    </xdr:from>
    <xdr:to>
      <xdr:col>15</xdr:col>
      <xdr:colOff>2762250</xdr:colOff>
      <xdr:row>12</xdr:row>
      <xdr:rowOff>219074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1CF7D9C-2E29-4A63-912C-6597F84B0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6700" y="762000"/>
          <a:ext cx="4648200" cy="2619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723899</xdr:colOff>
      <xdr:row>27</xdr:row>
      <xdr:rowOff>33336</xdr:rowOff>
    </xdr:from>
    <xdr:to>
      <xdr:col>19</xdr:col>
      <xdr:colOff>714374</xdr:colOff>
      <xdr:row>52</xdr:row>
      <xdr:rowOff>57149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386C9BA-881E-46C9-8576-20415BCC7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E6C9E0-F6F6-45FF-A5D1-EBE4C7FC0B79}" name="Tabelle2" displayName="Tabelle2" ref="F16:I37" totalsRowShown="0" headerRowDxfId="54" dataDxfId="53" tableBorderDxfId="52">
  <autoFilter ref="F16:I37" xr:uid="{7E5D117A-5BCD-41C7-9378-1146F36C69B4}"/>
  <sortState xmlns:xlrd2="http://schemas.microsoft.com/office/spreadsheetml/2017/richdata2" ref="F17:I37">
    <sortCondition ref="F16:F37"/>
  </sortState>
  <tableColumns count="4">
    <tableColumn id="1" xr3:uid="{3BF4B4A5-763F-44D6-82F2-633AF2B5A661}" name="Tag" dataDxfId="51"/>
    <tableColumn id="2" xr3:uid="{C2C59895-AB02-4E18-B5B3-A6018F118014}" name="€" dataDxfId="50">
      <calculatedColumnFormula>VLOOKUP(F17,$S$181:$AC$202,11,FALSE)</calculatedColumnFormula>
    </tableColumn>
    <tableColumn id="3" xr3:uid="{E1A7CA4C-C663-4044-B496-19D15B31B27D}" name="Backer" dataDxfId="49">
      <calculatedColumnFormula>VLOOKUP(F17,$S$181:$AB$202,10,FALSE)</calculatedColumnFormula>
    </tableColumn>
    <tableColumn id="4" xr3:uid="{628BDD77-5B3E-47FF-80AF-C00DB68B39F0}" name="€/Backer" dataDxfId="48">
      <calculatedColumnFormula>IFERROR(Tabelle2[[#This Row],[€]]/Tabelle2[[#This Row],[Backer]],"")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EA9654-149B-455B-B037-D0C330FFD6EF}" name="Tabelle3" displayName="Tabelle3" ref="B2:AL24" totalsRowShown="0" headerRowDxfId="47">
  <autoFilter ref="B2:AL24" xr:uid="{27422959-90AD-4338-8C23-E3B9F7316881}"/>
  <tableColumns count="37">
    <tableColumn id="1" xr3:uid="{F20F49F8-6EB7-43C1-9922-F620A023E7F0}" name="Tag"/>
    <tableColumn id="2" xr3:uid="{6971CB83-29C8-475B-A31E-D387F03E1C07}" name="Nedime (€)" dataDxfId="46"/>
    <tableColumn id="3" xr3:uid="{F664882F-3BD9-41DE-A643-1C890FC1B073}" name="Nedime (Backer)" dataDxfId="45"/>
    <tableColumn id="4" xr3:uid="{6F8F036B-D5DC-4216-84F0-2BEBB08CBACA}" name="Thorwal norm (€)" dataDxfId="44"/>
    <tableColumn id="5" xr3:uid="{FD2FB521-94BA-46E4-A5EA-A7CEFF140F9A}" name="Thorwal norm (Backer)" dataDxfId="43"/>
    <tableColumn id="6" xr3:uid="{25BEFAD5-BE69-4A80-ABD3-5577E99AE16C}" name="Werkzeuge norm (€)" dataDxfId="42"/>
    <tableColumn id="7" xr3:uid="{AF4584B6-52C3-49C8-9E39-F43C0B8FEB14}" name="Werkzeuge norm (Backer)" dataDxfId="41"/>
    <tableColumn id="22" xr3:uid="{266EF583-8DD5-4805-B391-903ED2BAC519}" name="Mythos norm (€)" dataDxfId="40"/>
    <tableColumn id="23" xr3:uid="{3AB32905-68A3-4D5A-B37B-E5533823CB41}" name="Mythos norm (Backer)" dataDxfId="39"/>
    <tableColumn id="28" xr3:uid="{48AFB569-0998-4E2C-8C85-86F96730174E}" name="DSK norm (€)" dataDxfId="38"/>
    <tableColumn id="27" xr3:uid="{E47209D4-64AB-4094-A811-0DF73184FDC3}" name="DSK norm (Backer)" dataDxfId="37"/>
    <tableColumn id="30" xr3:uid="{1CA79BBE-302A-4822-AE79-917DFA78E074}" name="Mythen norm (€)" dataDxfId="36"/>
    <tableColumn id="31" xr3:uid="{6670A725-1507-4497-9A0C-43A65D0B6954}" name="Mythen norm (Backer)" dataDxfId="35"/>
    <tableColumn id="36" xr3:uid="{2953A814-9630-4F7F-9B69-5E63A7325641}" name="SOK norm (€)" dataDxfId="34"/>
    <tableColumn id="37" xr3:uid="{3770DD86-5295-4580-8942-09F337054C13}" name="SOK norm (Backer)" dataDxfId="33"/>
    <tableColumn id="8" xr3:uid="{2114D7A1-DEA0-40EE-9B8B-0A668EFEB97B}" name="Thorwal (€)" dataDxfId="32"/>
    <tableColumn id="9" xr3:uid="{9A9EB59B-6CA6-4F08-B68D-0962E0D83338}" name="Thorwal (Backer)" dataDxfId="31"/>
    <tableColumn id="10" xr3:uid="{DF5363C3-935A-49F1-B72D-9DF733CE4302}" name="Werkzeuge (€)" dataDxfId="30"/>
    <tableColumn id="11" xr3:uid="{4CFD1B7C-52BE-49FD-B7F5-1D7A36D73889}" name="Werkzeuge (Backer)" dataDxfId="29"/>
    <tableColumn id="18" xr3:uid="{C732132C-C661-400E-A33E-810D292F34AA}" name="Mythos (€)" dataDxfId="28"/>
    <tableColumn id="19" xr3:uid="{90EA6656-0F6B-435F-8A50-D1F413A22B34}" name="Mythos (Backer)" dataDxfId="27"/>
    <tableColumn id="26" xr3:uid="{F4AEE733-FE50-4D43-B8B6-2CFA99AA7EE6}" name="DSK (€)" dataDxfId="26"/>
    <tableColumn id="29" xr3:uid="{519C5630-D167-4EFA-B84F-F9BC19E907B3}" name="DSK (Backer)" dataDxfId="25"/>
    <tableColumn id="20" xr3:uid="{C33B8766-778A-4CBA-B6CD-11F696D9BF3F}" name="Mythen (€)" dataDxfId="24"/>
    <tableColumn id="21" xr3:uid="{7FE9A82A-5A08-46A8-A0C2-586311B74BB6}" name="Mythen (Backer)" dataDxfId="23"/>
    <tableColumn id="34" xr3:uid="{ECB31B1D-5FD5-4EF9-871C-99A9FFBB4E6B}" name="SOK (€)" dataDxfId="22"/>
    <tableColumn id="35" xr3:uid="{1E34A881-32F6-48DB-8A12-F2F7F315C3B2}" name="SOK (Backer)" dataDxfId="21"/>
    <tableColumn id="32" xr3:uid="{E4B16DC1-4EE4-4038-B4B5-B981FD62F8EA}" name="RE (€)" dataDxfId="20"/>
    <tableColumn id="33" xr3:uid="{8EB42BB1-C038-48A6-A211-78A44E799A6C}" name="RE (Backer)" dataDxfId="19"/>
    <tableColumn id="12" xr3:uid="{CE532E56-7537-4234-994D-EF5975A2D3B8}" name="Aventuria (€) %" dataDxfId="18">
      <calculatedColumnFormula>Tabelle3[[#This Row],[Nedime (€)]]/C$24</calculatedColumnFormula>
    </tableColumn>
    <tableColumn id="13" xr3:uid="{6E91BB61-A019-4B20-A7F5-D01EA616EE80}" name="Aventuria (Backer) %" dataDxfId="17">
      <calculatedColumnFormula>Tabelle3[[#This Row],[Nedime (Backer)]]/D$24</calculatedColumnFormula>
    </tableColumn>
    <tableColumn id="14" xr3:uid="{FBF481DA-2BF3-4C7F-8B01-5CB18A4093B2}" name="Thorwal (€) %" dataDxfId="16">
      <calculatedColumnFormula>Tabelle3[[#This Row],[Thorwal (€)]]/Q$24</calculatedColumnFormula>
    </tableColumn>
    <tableColumn id="15" xr3:uid="{B21023AA-7241-4A20-9F45-D78A9ACC5244}" name="Thorwal (Backer) %" dataDxfId="15">
      <calculatedColumnFormula>Tabelle3[[#This Row],[Thorwal (Backer)]]/R$24</calculatedColumnFormula>
    </tableColumn>
    <tableColumn id="16" xr3:uid="{DC7AD9E1-E99C-4261-9C20-A1E356A99AC0}" name="Werkzeuge (€) %" dataDxfId="14">
      <calculatedColumnFormula>Tabelle3[[#This Row],[Werkzeuge (€)]]/S$24</calculatedColumnFormula>
    </tableColumn>
    <tableColumn id="17" xr3:uid="{BB027685-5D11-4F55-81EA-63B2D41CE363}" name="Werkzeuge (Backer) %" dataDxfId="13">
      <calculatedColumnFormula>Tabelle3[[#This Row],[Werkzeuge (Backer)]]/T$24</calculatedColumnFormula>
    </tableColumn>
    <tableColumn id="24" xr3:uid="{A23C8788-EEA7-4461-8240-391ABED3EBA3}" name="Mythos (€) %" dataDxfId="12">
      <calculatedColumnFormula>Tabelle3[[#This Row],[Mythos (€)]]/U$24</calculatedColumnFormula>
    </tableColumn>
    <tableColumn id="25" xr3:uid="{5DE909DD-E845-49F6-9E9A-EA884B351553}" name="Mthos (Backer) %" dataDxfId="11">
      <calculatedColumnFormula>Tabelle3[[#This Row],[Mythos (Backer)]]/V$24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hinterdemauge.blogspot.com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gameontabletop.com/cf617/das-schwarze-auge-rohals-erben.html" TargetMode="External"/><Relationship Id="rId1" Type="http://schemas.openxmlformats.org/officeDocument/2006/relationships/hyperlink" Target="https://hinterdemauge.blogspot.com/p/uber-den-podcast.html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982B-0226-4FC4-B481-9BD26DD7F965}">
  <sheetPr>
    <pageSetUpPr fitToPage="1"/>
  </sheetPr>
  <dimension ref="A1:CV249"/>
  <sheetViews>
    <sheetView showGridLines="0" showZeros="0" tabSelected="1" zoomScaleNormal="100" workbookViewId="0">
      <pane xSplit="4" ySplit="15" topLeftCell="E16" activePane="bottomRight" state="frozen"/>
      <selection pane="topRight" activeCell="F1" sqref="F1"/>
      <selection pane="bottomLeft" activeCell="A6" sqref="A6"/>
      <selection pane="bottomRight" activeCell="I1" sqref="I1"/>
    </sheetView>
  </sheetViews>
  <sheetFormatPr baseColWidth="10" defaultRowHeight="18.75" outlineLevelRow="1" outlineLevelCol="2" x14ac:dyDescent="0.3"/>
  <cols>
    <col min="1" max="1" width="1.28515625" style="255" customWidth="1"/>
    <col min="2" max="2" width="20.140625" style="210" customWidth="1"/>
    <col min="3" max="3" width="85.7109375" style="116" customWidth="1"/>
    <col min="4" max="4" width="25.5703125" style="116" bestFit="1" customWidth="1"/>
    <col min="5" max="12" width="12.42578125" style="211" customWidth="1"/>
    <col min="13" max="13" width="10.7109375" style="212" customWidth="1"/>
    <col min="14" max="14" width="10.7109375" style="213" customWidth="1"/>
    <col min="15" max="15" width="7.28515625" style="241" customWidth="1"/>
    <col min="16" max="16" width="41.5703125" style="214" customWidth="1"/>
    <col min="17" max="17" width="11.42578125" style="223" hidden="1" customWidth="1" outlineLevel="2"/>
    <col min="18" max="18" width="11.42578125" style="47" hidden="1" customWidth="1" outlineLevel="1" collapsed="1"/>
    <col min="19" max="22" width="11.42578125" style="47" hidden="1" customWidth="1" outlineLevel="1"/>
    <col min="23" max="23" width="6.140625" style="47" hidden="1" customWidth="1" outlineLevel="2"/>
    <col min="24" max="24" width="7.28515625" style="47" hidden="1" customWidth="1" outlineLevel="1"/>
    <col min="25" max="25" width="9.28515625" style="47" hidden="1" customWidth="1" outlineLevel="2"/>
    <col min="26" max="26" width="12.5703125" style="47" hidden="1" customWidth="1" outlineLevel="1"/>
    <col min="27" max="29" width="11.42578125" style="47" hidden="1" customWidth="1" outlineLevel="1"/>
    <col min="30" max="30" width="11.42578125" style="48" hidden="1" customWidth="1" outlineLevel="1"/>
    <col min="31" max="32" width="11.42578125" style="47" hidden="1" customWidth="1" outlineLevel="1"/>
    <col min="33" max="33" width="14" style="47" hidden="1" customWidth="1" outlineLevel="1"/>
    <col min="34" max="36" width="11.42578125" style="67" hidden="1" customWidth="1" outlineLevel="1"/>
    <col min="37" max="37" width="11.42578125" style="47" hidden="1" customWidth="1" outlineLevel="1"/>
    <col min="38" max="40" width="11.42578125" style="67" hidden="1" customWidth="1" outlineLevel="1"/>
    <col min="41" max="60" width="11.42578125" style="47" hidden="1" customWidth="1" outlineLevel="1"/>
    <col min="61" max="62" width="11.42578125" style="48" hidden="1" customWidth="1" outlineLevel="1"/>
    <col min="63" max="64" width="11.42578125" style="47" hidden="1" customWidth="1" outlineLevel="1"/>
    <col min="65" max="66" width="11.42578125" style="48" hidden="1" customWidth="1" outlineLevel="1"/>
    <col min="67" max="68" width="11.42578125" style="47" hidden="1" customWidth="1" outlineLevel="1"/>
    <col min="69" max="70" width="11.42578125" style="48" hidden="1" customWidth="1" outlineLevel="1"/>
    <col min="71" max="71" width="11.28515625" style="47" hidden="1" customWidth="1" outlineLevel="1"/>
    <col min="72" max="73" width="11.42578125" style="47" hidden="1" customWidth="1" outlineLevel="1"/>
    <col min="74" max="75" width="11.42578125" style="48" hidden="1" customWidth="1" outlineLevel="1"/>
    <col min="76" max="76" width="11.42578125" style="49" hidden="1" customWidth="1" outlineLevel="1"/>
    <col min="77" max="77" width="11.42578125" style="47" hidden="1" customWidth="1" outlineLevel="1"/>
    <col min="78" max="78" width="11.42578125" style="255" collapsed="1"/>
    <col min="79" max="96" width="11.42578125" style="255"/>
    <col min="97" max="16384" width="11.42578125" style="116"/>
  </cols>
  <sheetData>
    <row r="1" spans="1:100" s="47" customFormat="1" ht="19.5" hidden="1" customHeight="1" outlineLevel="1" thickBot="1" x14ac:dyDescent="0.35">
      <c r="B1" s="361"/>
      <c r="C1" s="70"/>
      <c r="D1" s="71"/>
      <c r="F1" s="73" t="s">
        <v>21</v>
      </c>
      <c r="G1" s="77">
        <v>32</v>
      </c>
      <c r="H1" s="73" t="s">
        <v>20</v>
      </c>
      <c r="I1" s="74">
        <v>343328</v>
      </c>
      <c r="J1" s="42" t="s">
        <v>22</v>
      </c>
      <c r="K1" s="82">
        <v>350000</v>
      </c>
      <c r="L1" s="90" t="s">
        <v>102</v>
      </c>
      <c r="M1" s="362"/>
      <c r="N1" s="363"/>
      <c r="O1" s="364"/>
      <c r="Q1" s="223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67"/>
      <c r="AL1" s="67"/>
      <c r="AM1" s="67"/>
      <c r="AN1" s="67"/>
      <c r="BI1" s="48"/>
      <c r="BJ1" s="48"/>
      <c r="BM1" s="48"/>
      <c r="BN1" s="48"/>
      <c r="BQ1" s="48"/>
      <c r="BR1" s="48"/>
      <c r="BV1" s="48"/>
      <c r="BW1" s="48"/>
      <c r="BX1" s="49"/>
    </row>
    <row r="2" spans="1:100" s="47" customFormat="1" ht="19.5" hidden="1" customHeight="1" outlineLevel="1" thickBot="1" x14ac:dyDescent="0.35">
      <c r="B2" s="361"/>
      <c r="F2" s="73" t="s">
        <v>18</v>
      </c>
      <c r="G2" s="84">
        <v>44488</v>
      </c>
      <c r="H2" s="73" t="s">
        <v>19</v>
      </c>
      <c r="I2" s="77">
        <v>1473</v>
      </c>
      <c r="J2" s="78" t="s">
        <v>36</v>
      </c>
      <c r="K2" s="85">
        <v>21</v>
      </c>
      <c r="L2" s="94">
        <f>SUM(F13:L13)</f>
        <v>1497</v>
      </c>
      <c r="M2" s="362"/>
      <c r="N2" s="363"/>
      <c r="O2" s="364"/>
      <c r="Q2" s="223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67"/>
      <c r="AL2" s="67"/>
      <c r="AM2" s="67"/>
      <c r="AN2" s="67"/>
      <c r="BI2" s="48"/>
      <c r="BJ2" s="48"/>
      <c r="BM2" s="48"/>
      <c r="BN2" s="48"/>
      <c r="BQ2" s="48"/>
      <c r="BR2" s="48"/>
      <c r="BV2" s="48"/>
      <c r="BW2" s="48"/>
      <c r="BX2" s="49"/>
    </row>
    <row r="3" spans="1:100" s="47" customFormat="1" ht="19.5" hidden="1" customHeight="1" outlineLevel="1" thickBot="1" x14ac:dyDescent="0.35">
      <c r="B3" s="361"/>
      <c r="F3" s="73" t="s">
        <v>39</v>
      </c>
      <c r="G3" s="82" t="s">
        <v>354</v>
      </c>
      <c r="H3" s="73" t="s">
        <v>150</v>
      </c>
      <c r="I3" s="80">
        <f>I1/I2</f>
        <v>233.08078750848608</v>
      </c>
      <c r="J3" s="78"/>
      <c r="K3" s="78"/>
      <c r="L3" s="365">
        <f>L2-I2</f>
        <v>24</v>
      </c>
      <c r="M3" s="362"/>
      <c r="N3" s="363"/>
      <c r="O3" s="364"/>
      <c r="Q3" s="223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67"/>
      <c r="AL3" s="67"/>
      <c r="AM3" s="67"/>
      <c r="AN3" s="67"/>
      <c r="BI3" s="48"/>
      <c r="BJ3" s="48"/>
      <c r="BM3" s="48"/>
      <c r="BN3" s="48"/>
      <c r="BQ3" s="48"/>
      <c r="BR3" s="48"/>
      <c r="BV3" s="48"/>
      <c r="BW3" s="48"/>
      <c r="BX3" s="49"/>
    </row>
    <row r="4" spans="1:100" s="47" customFormat="1" ht="19.5" hidden="1" customHeight="1" outlineLevel="1" thickBot="1" x14ac:dyDescent="0.35">
      <c r="B4" s="361"/>
      <c r="E4" s="78"/>
      <c r="M4" s="362"/>
      <c r="N4" s="363"/>
      <c r="O4" s="364"/>
      <c r="Q4" s="223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67"/>
      <c r="AL4" s="67"/>
      <c r="AM4" s="67"/>
      <c r="AN4" s="67"/>
      <c r="BI4" s="48"/>
      <c r="BJ4" s="48"/>
      <c r="BM4" s="48"/>
      <c r="BN4" s="48"/>
      <c r="BQ4" s="48"/>
      <c r="BR4" s="48"/>
      <c r="BV4" s="48"/>
      <c r="BW4" s="48"/>
      <c r="BX4" s="49"/>
    </row>
    <row r="5" spans="1:100" s="2" customFormat="1" ht="19.5" collapsed="1" thickBot="1" x14ac:dyDescent="0.35">
      <c r="A5" s="255"/>
      <c r="B5" s="256" t="str">
        <f>"Stand: "&amp;TEXT(G2,"TT.MM.JJJJ")</f>
        <v>Stand: 19.10.2021</v>
      </c>
      <c r="C5" s="470" t="str">
        <f>TEXT(K2&amp;". Tag (noch "&amp;21-K2&amp;"+ Tage)",)&amp;"; Aktueller Stand: "&amp;TEXT(I1,"#.##0")&amp;" € / "&amp;TEXT(I2,"#.##0")&amp;" Unterstützer (Ø "&amp;TEXT(I3,"#.##0,00")&amp;" €)"</f>
        <v>21. Tag (noch 0+ Tage); Aktueller Stand: 343.328 € / 1.473 Unterstützer (Ø 233,08 €)</v>
      </c>
      <c r="D5" s="470"/>
      <c r="E5" s="454" t="s">
        <v>216</v>
      </c>
      <c r="F5" s="455"/>
      <c r="G5" s="455"/>
      <c r="H5" s="455"/>
      <c r="I5" s="455"/>
      <c r="J5" s="455"/>
      <c r="K5" s="455"/>
      <c r="L5" s="456"/>
      <c r="M5" s="472" t="s">
        <v>284</v>
      </c>
      <c r="N5" s="472"/>
      <c r="O5" s="472"/>
      <c r="P5" s="472"/>
      <c r="Q5" s="217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8"/>
      <c r="BJ5" s="48"/>
      <c r="BK5" s="47"/>
      <c r="BL5" s="47"/>
      <c r="BM5" s="48"/>
      <c r="BN5" s="48"/>
      <c r="BO5" s="47"/>
      <c r="BP5" s="47"/>
      <c r="BQ5" s="48"/>
      <c r="BR5" s="48"/>
      <c r="BS5" s="47"/>
      <c r="BT5" s="47"/>
      <c r="BU5" s="47"/>
      <c r="BV5" s="48"/>
      <c r="BW5" s="48"/>
      <c r="BX5" s="49"/>
      <c r="BY5" s="47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</row>
    <row r="6" spans="1:100" s="2" customFormat="1" ht="18" x14ac:dyDescent="0.3">
      <c r="A6" s="255"/>
      <c r="B6" s="257" t="str">
        <f>G3&amp;" Uhr"</f>
        <v>21:55 Uhr</v>
      </c>
      <c r="C6" s="470" t="str">
        <f>"Erreichte Bonusziele: "&amp;G1&amp;", bis: '"&amp;VLOOKUP(G1,$B$16:$C$49,2,FALSE)&amp;"'"</f>
        <v>Erreichte Bonusziele: 32, bis: 'An ein magisches Buch gebunden'</v>
      </c>
      <c r="D6" s="470"/>
      <c r="E6" s="457" t="s">
        <v>285</v>
      </c>
      <c r="F6" s="457"/>
      <c r="G6" s="457"/>
      <c r="H6" s="457"/>
      <c r="I6" s="457"/>
      <c r="J6" s="457"/>
      <c r="K6" s="457"/>
      <c r="L6" s="457"/>
      <c r="M6" s="472" t="s">
        <v>283</v>
      </c>
      <c r="N6" s="472"/>
      <c r="O6" s="472"/>
      <c r="P6" s="472"/>
      <c r="Q6" s="218" t="s">
        <v>5</v>
      </c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8"/>
      <c r="BJ6" s="48"/>
      <c r="BK6" s="47"/>
      <c r="BL6" s="47"/>
      <c r="BM6" s="48"/>
      <c r="BN6" s="48"/>
      <c r="BO6" s="47"/>
      <c r="BP6" s="47"/>
      <c r="BQ6" s="48"/>
      <c r="BR6" s="48"/>
      <c r="BS6" s="47"/>
      <c r="BT6" s="47"/>
      <c r="BU6" s="47"/>
      <c r="BV6" s="48"/>
      <c r="BW6" s="48"/>
      <c r="BX6" s="49"/>
      <c r="BY6" s="47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</row>
    <row r="7" spans="1:100" s="2" customFormat="1" ht="18.75" customHeight="1" thickBot="1" x14ac:dyDescent="0.35">
      <c r="A7" s="255"/>
      <c r="B7" s="258"/>
      <c r="C7" s="471" t="str">
        <f>"Noch "&amp;TEXT(K1-I1,"#.##0")&amp;" € bis zum "&amp;G1+1&amp;". Ziel: '"&amp;VLOOKUP(G1+1,$B$16:$C$49,2,FALSE)&amp;"' bei "&amp;TEXT(K1,"#.##0 €")</f>
        <v>Noch 6.672 € bis zum 33. Ziel: 'Die Schule fürs Leben' bei 350.000 €</v>
      </c>
      <c r="D7" s="471"/>
      <c r="E7" s="458" t="s">
        <v>217</v>
      </c>
      <c r="F7" s="458"/>
      <c r="G7" s="458"/>
      <c r="H7" s="458"/>
      <c r="I7" s="458"/>
      <c r="J7" s="458"/>
      <c r="K7" s="458"/>
      <c r="L7" s="458"/>
      <c r="M7" s="468" t="s">
        <v>282</v>
      </c>
      <c r="N7" s="469"/>
      <c r="O7" s="469"/>
      <c r="P7" s="469"/>
      <c r="Q7" s="218" t="s">
        <v>5</v>
      </c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8"/>
      <c r="BJ7" s="48"/>
      <c r="BK7" s="47"/>
      <c r="BL7" s="47"/>
      <c r="BM7" s="48"/>
      <c r="BN7" s="48"/>
      <c r="BO7" s="47"/>
      <c r="BP7" s="47"/>
      <c r="BQ7" s="48"/>
      <c r="BR7" s="48"/>
      <c r="BS7" s="47"/>
      <c r="BT7" s="47"/>
      <c r="BU7" s="47"/>
      <c r="BV7" s="48"/>
      <c r="BW7" s="48"/>
      <c r="BX7" s="49"/>
      <c r="BY7" s="47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</row>
    <row r="8" spans="1:100" s="2" customFormat="1" ht="36.75" customHeight="1" thickBot="1" x14ac:dyDescent="0.35">
      <c r="A8" s="255"/>
      <c r="B8" s="259" t="s">
        <v>31</v>
      </c>
      <c r="C8" s="255"/>
      <c r="D8" s="255"/>
      <c r="E8" s="459" t="s">
        <v>0</v>
      </c>
      <c r="F8" s="460"/>
      <c r="G8" s="460"/>
      <c r="H8" s="460"/>
      <c r="I8" s="460"/>
      <c r="J8" s="460"/>
      <c r="K8" s="460"/>
      <c r="L8" s="461"/>
      <c r="M8" s="277"/>
      <c r="N8" s="278"/>
      <c r="O8" s="279"/>
      <c r="P8" s="255"/>
      <c r="Q8" s="219" t="s">
        <v>14</v>
      </c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8"/>
      <c r="BJ8" s="48"/>
      <c r="BK8" s="47"/>
      <c r="BL8" s="47"/>
      <c r="BM8" s="48"/>
      <c r="BN8" s="48"/>
      <c r="BO8" s="47"/>
      <c r="BP8" s="47"/>
      <c r="BQ8" s="48"/>
      <c r="BR8" s="48"/>
      <c r="BS8" s="47"/>
      <c r="BT8" s="47"/>
      <c r="BU8" s="47"/>
      <c r="BV8" s="48"/>
      <c r="BW8" s="48"/>
      <c r="BX8" s="49"/>
      <c r="BY8" s="47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</row>
    <row r="9" spans="1:100" s="2" customFormat="1" ht="47.25" customHeight="1" thickBot="1" x14ac:dyDescent="0.35">
      <c r="A9" s="255"/>
      <c r="B9" s="260" t="s">
        <v>1</v>
      </c>
      <c r="C9" s="255"/>
      <c r="D9" s="255"/>
      <c r="E9" s="462" t="s">
        <v>295</v>
      </c>
      <c r="F9" s="463"/>
      <c r="G9" s="463"/>
      <c r="H9" s="463"/>
      <c r="I9" s="463"/>
      <c r="J9" s="463"/>
      <c r="K9" s="463"/>
      <c r="L9" s="464"/>
      <c r="M9" s="277"/>
      <c r="N9" s="278"/>
      <c r="O9" s="279"/>
      <c r="P9" s="255"/>
      <c r="Q9" s="219" t="s">
        <v>14</v>
      </c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47"/>
      <c r="AK9" s="47"/>
      <c r="AL9" s="47"/>
      <c r="AM9" s="47"/>
      <c r="AN9" s="47"/>
      <c r="AO9" s="81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8"/>
      <c r="BJ9" s="48"/>
      <c r="BK9" s="47"/>
      <c r="BL9" s="47"/>
      <c r="BM9" s="48"/>
      <c r="BN9" s="48"/>
      <c r="BO9" s="47"/>
      <c r="BP9" s="47"/>
      <c r="BQ9" s="48"/>
      <c r="BR9" s="48"/>
      <c r="BS9" s="47"/>
      <c r="BT9" s="47"/>
      <c r="BU9" s="47"/>
      <c r="BV9" s="48"/>
      <c r="BW9" s="48"/>
      <c r="BX9" s="49"/>
      <c r="BY9" s="47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</row>
    <row r="10" spans="1:100" s="2" customFormat="1" ht="18" x14ac:dyDescent="0.3">
      <c r="A10" s="255"/>
      <c r="B10" s="261" t="s">
        <v>33</v>
      </c>
      <c r="C10" s="255"/>
      <c r="D10" s="255"/>
      <c r="E10" s="286"/>
      <c r="F10" s="287"/>
      <c r="G10" s="287"/>
      <c r="H10" s="287"/>
      <c r="I10" s="287"/>
      <c r="J10" s="287"/>
      <c r="K10" s="287"/>
      <c r="L10" s="287"/>
      <c r="M10" s="277"/>
      <c r="N10" s="278"/>
      <c r="O10" s="279"/>
      <c r="P10" s="255"/>
      <c r="Q10" s="218" t="s">
        <v>5</v>
      </c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47"/>
      <c r="AK10" s="47"/>
      <c r="AL10" s="47"/>
      <c r="AM10" s="47"/>
      <c r="AN10" s="47"/>
      <c r="AO10" s="81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8"/>
      <c r="BJ10" s="48"/>
      <c r="BK10" s="47"/>
      <c r="BL10" s="47"/>
      <c r="BM10" s="48"/>
      <c r="BN10" s="48"/>
      <c r="BO10" s="47"/>
      <c r="BP10" s="47"/>
      <c r="BQ10" s="48"/>
      <c r="BR10" s="48"/>
      <c r="BS10" s="47"/>
      <c r="BT10" s="47"/>
      <c r="BU10" s="47"/>
      <c r="BV10" s="48"/>
      <c r="BW10" s="48"/>
      <c r="BX10" s="49"/>
      <c r="BY10" s="47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</row>
    <row r="11" spans="1:100" s="83" customFormat="1" ht="36" customHeight="1" x14ac:dyDescent="0.25">
      <c r="A11" s="262"/>
      <c r="B11" s="261" t="s">
        <v>114</v>
      </c>
      <c r="C11" s="262"/>
      <c r="D11" s="263"/>
      <c r="E11" s="452" t="s">
        <v>181</v>
      </c>
      <c r="F11" s="366" t="s">
        <v>196</v>
      </c>
      <c r="G11" s="366" t="s">
        <v>197</v>
      </c>
      <c r="H11" s="316" t="s">
        <v>198</v>
      </c>
      <c r="I11" s="366" t="s">
        <v>199</v>
      </c>
      <c r="J11" s="316" t="s">
        <v>200</v>
      </c>
      <c r="K11" s="316" t="s">
        <v>201</v>
      </c>
      <c r="L11" s="317" t="s">
        <v>202</v>
      </c>
      <c r="M11" s="282"/>
      <c r="N11" s="278"/>
      <c r="O11" s="279"/>
      <c r="P11" s="262"/>
      <c r="Q11" s="219" t="s">
        <v>14</v>
      </c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87"/>
      <c r="AK11" s="87"/>
      <c r="AL11" s="79"/>
      <c r="AM11" s="79"/>
      <c r="AN11" s="79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79"/>
      <c r="BH11" s="79"/>
      <c r="BI11" s="86"/>
      <c r="BJ11" s="86"/>
      <c r="BK11" s="79"/>
      <c r="BL11" s="79"/>
      <c r="BM11" s="86"/>
      <c r="BN11" s="86"/>
      <c r="BO11" s="79"/>
      <c r="BP11" s="79"/>
      <c r="BQ11" s="86"/>
      <c r="BR11" s="86"/>
      <c r="BS11" s="79"/>
      <c r="BT11" s="79"/>
      <c r="BU11" s="79"/>
      <c r="BV11" s="86"/>
      <c r="BW11" s="86"/>
      <c r="BX11" s="89"/>
      <c r="BY11" s="79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</row>
    <row r="12" spans="1:100" s="2" customFormat="1" ht="54.75" thickBot="1" x14ac:dyDescent="0.35">
      <c r="A12" s="255"/>
      <c r="B12" s="264" t="s">
        <v>2</v>
      </c>
      <c r="C12" s="255"/>
      <c r="D12" s="265"/>
      <c r="E12" s="453"/>
      <c r="F12" s="318"/>
      <c r="G12" s="318"/>
      <c r="H12" s="318"/>
      <c r="I12" s="318"/>
      <c r="J12" s="318"/>
      <c r="K12" s="318"/>
      <c r="L12" s="319"/>
      <c r="M12" s="283"/>
      <c r="N12" s="278"/>
      <c r="O12" s="279"/>
      <c r="P12" s="255"/>
      <c r="Q12" s="219" t="s">
        <v>183</v>
      </c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47"/>
      <c r="AK12" s="47"/>
      <c r="AL12" s="47"/>
      <c r="AM12" s="47"/>
      <c r="AN12" s="47"/>
      <c r="AO12" s="92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8"/>
      <c r="BJ12" s="48"/>
      <c r="BK12" s="47"/>
      <c r="BL12" s="47"/>
      <c r="BM12" s="48"/>
      <c r="BN12" s="48"/>
      <c r="BO12" s="47"/>
      <c r="BP12" s="47"/>
      <c r="BQ12" s="48"/>
      <c r="BR12" s="48"/>
      <c r="BS12" s="47"/>
      <c r="BT12" s="47"/>
      <c r="BU12" s="47"/>
      <c r="BV12" s="48"/>
      <c r="BW12" s="48"/>
      <c r="BX12" s="49"/>
      <c r="BY12" s="47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</row>
    <row r="13" spans="1:100" s="93" customFormat="1" ht="18" x14ac:dyDescent="0.3">
      <c r="A13" s="266"/>
      <c r="B13" s="275"/>
      <c r="C13" s="367" t="s">
        <v>286</v>
      </c>
      <c r="D13" s="328"/>
      <c r="E13" s="320" t="s">
        <v>32</v>
      </c>
      <c r="F13" s="321">
        <v>28</v>
      </c>
      <c r="G13" s="321">
        <v>60</v>
      </c>
      <c r="H13" s="321">
        <v>413</v>
      </c>
      <c r="I13" s="321">
        <v>213</v>
      </c>
      <c r="J13" s="321">
        <v>400</v>
      </c>
      <c r="K13" s="321">
        <v>110</v>
      </c>
      <c r="L13" s="322">
        <v>273</v>
      </c>
      <c r="M13" s="284"/>
      <c r="N13" s="284"/>
      <c r="O13" s="285"/>
      <c r="P13" s="266"/>
      <c r="Q13" s="219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95"/>
      <c r="BJ13" s="95"/>
      <c r="BK13" s="75"/>
      <c r="BL13" s="75"/>
      <c r="BM13" s="95"/>
      <c r="BN13" s="95"/>
      <c r="BO13" s="75"/>
      <c r="BP13" s="75"/>
      <c r="BQ13" s="95"/>
      <c r="BR13" s="95"/>
      <c r="BS13" s="75"/>
      <c r="BT13" s="75"/>
      <c r="BU13" s="75"/>
      <c r="BV13" s="95"/>
      <c r="BW13" s="95"/>
      <c r="BX13" s="96"/>
      <c r="BY13" s="75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</row>
    <row r="14" spans="1:100" s="93" customFormat="1" thickBot="1" x14ac:dyDescent="0.35">
      <c r="A14" s="266"/>
      <c r="B14" s="275"/>
      <c r="C14" s="436"/>
      <c r="D14" s="328"/>
      <c r="E14" s="320" t="s">
        <v>345</v>
      </c>
      <c r="F14" s="437">
        <f t="shared" ref="F14:L14" si="0">F13/$I$2</f>
        <v>1.9008825526137134E-2</v>
      </c>
      <c r="G14" s="437">
        <f t="shared" si="0"/>
        <v>4.0733197556008148E-2</v>
      </c>
      <c r="H14" s="437">
        <f t="shared" si="0"/>
        <v>0.28038017651052272</v>
      </c>
      <c r="I14" s="437">
        <f t="shared" si="0"/>
        <v>0.14460285132382891</v>
      </c>
      <c r="J14" s="437">
        <f t="shared" si="0"/>
        <v>0.27155465037338766</v>
      </c>
      <c r="K14" s="437">
        <f t="shared" si="0"/>
        <v>7.4677528852681599E-2</v>
      </c>
      <c r="L14" s="438">
        <f t="shared" si="0"/>
        <v>0.18533604887983707</v>
      </c>
      <c r="M14" s="284"/>
      <c r="N14" s="284"/>
      <c r="O14" s="285"/>
      <c r="P14" s="266"/>
      <c r="Q14" s="219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95"/>
      <c r="BJ14" s="95"/>
      <c r="BK14" s="75"/>
      <c r="BL14" s="75"/>
      <c r="BM14" s="95"/>
      <c r="BN14" s="95"/>
      <c r="BO14" s="75"/>
      <c r="BP14" s="75"/>
      <c r="BQ14" s="95"/>
      <c r="BR14" s="95"/>
      <c r="BS14" s="75"/>
      <c r="BT14" s="75"/>
      <c r="BU14" s="75"/>
      <c r="BV14" s="95"/>
      <c r="BW14" s="95"/>
      <c r="BX14" s="96"/>
      <c r="BY14" s="75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</row>
    <row r="15" spans="1:100" s="97" customFormat="1" ht="45" x14ac:dyDescent="0.25">
      <c r="A15" s="262"/>
      <c r="B15" s="323" t="s">
        <v>289</v>
      </c>
      <c r="C15" s="404" t="s">
        <v>287</v>
      </c>
      <c r="D15" s="405" t="s">
        <v>3</v>
      </c>
      <c r="E15" s="406"/>
      <c r="F15" s="406">
        <v>40</v>
      </c>
      <c r="G15" s="406">
        <v>45</v>
      </c>
      <c r="H15" s="406">
        <v>100</v>
      </c>
      <c r="I15" s="406">
        <v>100</v>
      </c>
      <c r="J15" s="407">
        <v>200</v>
      </c>
      <c r="K15" s="408">
        <v>230</v>
      </c>
      <c r="L15" s="408">
        <v>360</v>
      </c>
      <c r="M15" s="324" t="s">
        <v>15</v>
      </c>
      <c r="N15" s="325" t="s">
        <v>4</v>
      </c>
      <c r="O15" s="326" t="s">
        <v>193</v>
      </c>
      <c r="P15" s="409" t="s">
        <v>101</v>
      </c>
      <c r="Q15" s="219" t="s">
        <v>14</v>
      </c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75"/>
      <c r="AK15" s="75"/>
      <c r="AL15" s="79"/>
      <c r="AM15" s="79"/>
      <c r="AN15" s="79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9"/>
      <c r="BI15" s="86"/>
      <c r="BJ15" s="86"/>
      <c r="BK15" s="79"/>
      <c r="BL15" s="79"/>
      <c r="BM15" s="86"/>
      <c r="BN15" s="86"/>
      <c r="BO15" s="79"/>
      <c r="BP15" s="79"/>
      <c r="BQ15" s="86"/>
      <c r="BR15" s="86"/>
      <c r="BS15" s="79"/>
      <c r="BT15" s="79"/>
      <c r="BU15" s="79"/>
      <c r="BV15" s="86"/>
      <c r="BW15" s="86"/>
      <c r="BX15" s="89"/>
      <c r="BY15" s="79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</row>
    <row r="16" spans="1:100" s="97" customFormat="1" ht="18" hidden="1" outlineLevel="1" x14ac:dyDescent="0.25">
      <c r="A16" s="262"/>
      <c r="B16" s="98">
        <v>0</v>
      </c>
      <c r="C16" s="99" t="s">
        <v>230</v>
      </c>
      <c r="D16" s="359">
        <v>20000</v>
      </c>
      <c r="E16" s="47"/>
      <c r="F16" s="251" t="s">
        <v>36</v>
      </c>
      <c r="G16" s="252" t="s">
        <v>20</v>
      </c>
      <c r="H16" s="252" t="s">
        <v>19</v>
      </c>
      <c r="I16" s="252" t="s">
        <v>46</v>
      </c>
      <c r="J16" s="101"/>
      <c r="K16" s="101"/>
      <c r="L16" s="101"/>
      <c r="M16" s="101"/>
      <c r="N16" s="101"/>
      <c r="O16" s="101"/>
      <c r="P16" s="101"/>
      <c r="Q16" s="219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75"/>
      <c r="AK16" s="79"/>
      <c r="AL16" s="79"/>
      <c r="AM16" s="79"/>
      <c r="AN16" s="79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9"/>
      <c r="BI16" s="86"/>
      <c r="BJ16" s="86"/>
      <c r="BK16" s="79"/>
      <c r="BL16" s="79"/>
      <c r="BM16" s="86"/>
      <c r="BN16" s="86"/>
      <c r="BO16" s="79"/>
      <c r="BP16" s="79"/>
      <c r="BQ16" s="86"/>
      <c r="BR16" s="86"/>
      <c r="BS16" s="79"/>
      <c r="BT16" s="79"/>
      <c r="BU16" s="79"/>
      <c r="BV16" s="86"/>
      <c r="BW16" s="86"/>
      <c r="BX16" s="89"/>
      <c r="BY16" s="79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</row>
    <row r="17" spans="1:96" s="97" customFormat="1" ht="18" hidden="1" outlineLevel="1" x14ac:dyDescent="0.25">
      <c r="A17" s="262"/>
      <c r="B17" s="98">
        <v>1</v>
      </c>
      <c r="C17" s="99" t="s">
        <v>231</v>
      </c>
      <c r="D17" s="359">
        <f>D16+5000</f>
        <v>25000</v>
      </c>
      <c r="E17" s="169" t="s">
        <v>23</v>
      </c>
      <c r="F17" s="247">
        <v>1</v>
      </c>
      <c r="G17" s="245">
        <f>VLOOKUP(F17,$S$181:$AC$202,11,FALSE)</f>
        <v>82966</v>
      </c>
      <c r="H17" s="245">
        <f>VLOOKUP(F17,$S$181:$AB$202,10,FALSE)</f>
        <v>341</v>
      </c>
      <c r="I17" s="249">
        <f>IFERROR(Tabelle2[[#This Row],[€]]/Tabelle2[[#This Row],[Backer]],"")</f>
        <v>243.30205278592376</v>
      </c>
      <c r="J17" s="101"/>
      <c r="K17" s="101"/>
      <c r="L17" s="101"/>
      <c r="M17" s="101"/>
      <c r="N17" s="101"/>
      <c r="O17" s="101"/>
      <c r="P17" s="101"/>
      <c r="Q17" s="219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75"/>
      <c r="AK17" s="79"/>
      <c r="AL17" s="79"/>
      <c r="AM17" s="79"/>
      <c r="AN17" s="79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9"/>
      <c r="BI17" s="86"/>
      <c r="BJ17" s="86"/>
      <c r="BK17" s="79"/>
      <c r="BL17" s="79"/>
      <c r="BM17" s="86"/>
      <c r="BN17" s="86"/>
      <c r="BO17" s="79"/>
      <c r="BP17" s="79"/>
      <c r="BQ17" s="86"/>
      <c r="BR17" s="86"/>
      <c r="BS17" s="79"/>
      <c r="BT17" s="79"/>
      <c r="BU17" s="79"/>
      <c r="BV17" s="86"/>
      <c r="BW17" s="86"/>
      <c r="BX17" s="89"/>
      <c r="BY17" s="79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</row>
    <row r="18" spans="1:96" s="97" customFormat="1" ht="18" hidden="1" outlineLevel="1" x14ac:dyDescent="0.25">
      <c r="A18" s="262"/>
      <c r="B18" s="98">
        <v>2</v>
      </c>
      <c r="C18" s="99" t="s">
        <v>232</v>
      </c>
      <c r="D18" s="359">
        <f t="shared" ref="D18:D22" si="1">D17+5000</f>
        <v>30000</v>
      </c>
      <c r="E18" s="200" t="s">
        <v>24</v>
      </c>
      <c r="F18" s="247">
        <v>2</v>
      </c>
      <c r="G18" s="245">
        <f>VLOOKUP(F18,$S$181:$AC$202,11,FALSE)</f>
        <v>13362</v>
      </c>
      <c r="H18" s="245">
        <f>VLOOKUP(F18,$S$181:$AB$202,10,FALSE)</f>
        <v>63</v>
      </c>
      <c r="I18" s="249">
        <f>IFERROR(Tabelle2[[#This Row],[€]]/Tabelle2[[#This Row],[Backer]],"")</f>
        <v>212.0952380952381</v>
      </c>
      <c r="J18" s="101"/>
      <c r="K18" s="101"/>
      <c r="L18" s="101"/>
      <c r="M18" s="101"/>
      <c r="N18" s="101"/>
      <c r="O18" s="101"/>
      <c r="P18" s="101"/>
      <c r="Q18" s="219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75"/>
      <c r="AK18" s="79"/>
      <c r="AL18" s="79"/>
      <c r="AM18" s="79"/>
      <c r="AN18" s="79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9"/>
      <c r="BI18" s="86"/>
      <c r="BJ18" s="86"/>
      <c r="BK18" s="79"/>
      <c r="BL18" s="79"/>
      <c r="BM18" s="86"/>
      <c r="BN18" s="86"/>
      <c r="BO18" s="79"/>
      <c r="BP18" s="79"/>
      <c r="BQ18" s="86"/>
      <c r="BR18" s="86"/>
      <c r="BS18" s="79"/>
      <c r="BT18" s="79"/>
      <c r="BU18" s="79"/>
      <c r="BV18" s="86"/>
      <c r="BW18" s="86"/>
      <c r="BX18" s="89"/>
      <c r="BY18" s="79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</row>
    <row r="19" spans="1:96" s="97" customFormat="1" ht="18" hidden="1" outlineLevel="1" x14ac:dyDescent="0.25">
      <c r="A19" s="262"/>
      <c r="B19" s="98">
        <v>3</v>
      </c>
      <c r="C19" s="99" t="s">
        <v>233</v>
      </c>
      <c r="D19" s="359">
        <f t="shared" si="1"/>
        <v>35000</v>
      </c>
      <c r="E19" s="169" t="s">
        <v>26</v>
      </c>
      <c r="F19" s="247">
        <v>3</v>
      </c>
      <c r="G19" s="245">
        <f>VLOOKUP(F19,$S$181:$AC$202,11,FALSE)</f>
        <v>18819</v>
      </c>
      <c r="H19" s="245">
        <f>VLOOKUP(F19,$S$181:$AB$202,10,FALSE)</f>
        <v>76</v>
      </c>
      <c r="I19" s="249">
        <f>IFERROR(Tabelle2[[#This Row],[€]]/Tabelle2[[#This Row],[Backer]],"")</f>
        <v>247.61842105263159</v>
      </c>
      <c r="J19" s="101"/>
      <c r="K19" s="101"/>
      <c r="L19" s="101"/>
      <c r="M19" s="101"/>
      <c r="N19" s="101"/>
      <c r="O19" s="101"/>
      <c r="P19" s="101"/>
      <c r="Q19" s="219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75"/>
      <c r="AK19" s="79"/>
      <c r="AL19" s="79"/>
      <c r="AM19" s="79"/>
      <c r="AN19" s="79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9"/>
      <c r="BI19" s="86"/>
      <c r="BJ19" s="86"/>
      <c r="BK19" s="79"/>
      <c r="BL19" s="79"/>
      <c r="BM19" s="86"/>
      <c r="BN19" s="86"/>
      <c r="BO19" s="79"/>
      <c r="BP19" s="79"/>
      <c r="BQ19" s="86"/>
      <c r="BR19" s="86"/>
      <c r="BS19" s="79"/>
      <c r="BT19" s="79"/>
      <c r="BU19" s="79"/>
      <c r="BV19" s="86"/>
      <c r="BW19" s="86"/>
      <c r="BX19" s="89"/>
      <c r="BY19" s="79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</row>
    <row r="20" spans="1:96" s="97" customFormat="1" ht="18" hidden="1" outlineLevel="1" x14ac:dyDescent="0.25">
      <c r="A20" s="262"/>
      <c r="B20" s="98">
        <v>4</v>
      </c>
      <c r="C20" s="99" t="s">
        <v>234</v>
      </c>
      <c r="D20" s="359">
        <f t="shared" si="1"/>
        <v>40000</v>
      </c>
      <c r="E20" s="200" t="s">
        <v>103</v>
      </c>
      <c r="F20" s="247">
        <v>4</v>
      </c>
      <c r="G20" s="245">
        <f>VLOOKUP(F20,$S$181:$AC$202,11,FALSE)</f>
        <v>8687</v>
      </c>
      <c r="H20" s="245">
        <f>VLOOKUP(F20,$S$181:$AB$202,10,FALSE)</f>
        <v>40</v>
      </c>
      <c r="I20" s="249">
        <f>IFERROR(Tabelle2[[#This Row],[€]]/Tabelle2[[#This Row],[Backer]],"")</f>
        <v>217.17500000000001</v>
      </c>
      <c r="J20" s="101"/>
      <c r="K20" s="101"/>
      <c r="L20" s="101"/>
      <c r="M20" s="101"/>
      <c r="N20" s="101"/>
      <c r="O20" s="101"/>
      <c r="P20" s="101"/>
      <c r="Q20" s="219"/>
      <c r="R20" s="101"/>
      <c r="S20" s="79"/>
      <c r="T20" s="79"/>
      <c r="U20" s="79"/>
      <c r="V20" s="79"/>
      <c r="W20" s="79"/>
      <c r="X20" s="79"/>
      <c r="Y20" s="79"/>
      <c r="Z20" s="79"/>
      <c r="AA20" s="75"/>
      <c r="AB20" s="75"/>
      <c r="AC20" s="75"/>
      <c r="AD20" s="95"/>
      <c r="AE20" s="75"/>
      <c r="AF20" s="75"/>
      <c r="AG20" s="75"/>
      <c r="AH20" s="75"/>
      <c r="AI20" s="75"/>
      <c r="AJ20" s="75"/>
      <c r="AK20" s="79"/>
      <c r="AL20" s="79"/>
      <c r="AM20" s="79"/>
      <c r="AN20" s="79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9"/>
      <c r="BI20" s="86"/>
      <c r="BJ20" s="86"/>
      <c r="BK20" s="79"/>
      <c r="BL20" s="79"/>
      <c r="BM20" s="86"/>
      <c r="BN20" s="86"/>
      <c r="BO20" s="79"/>
      <c r="BP20" s="79"/>
      <c r="BQ20" s="86"/>
      <c r="BR20" s="86"/>
      <c r="BS20" s="79"/>
      <c r="BT20" s="79"/>
      <c r="BU20" s="79"/>
      <c r="BV20" s="86"/>
      <c r="BW20" s="86"/>
      <c r="BX20" s="89"/>
      <c r="BY20" s="79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</row>
    <row r="21" spans="1:96" s="97" customFormat="1" ht="18" hidden="1" outlineLevel="1" x14ac:dyDescent="0.25">
      <c r="A21" s="262"/>
      <c r="B21" s="98">
        <v>5</v>
      </c>
      <c r="C21" s="99" t="s">
        <v>235</v>
      </c>
      <c r="D21" s="359">
        <f t="shared" si="1"/>
        <v>45000</v>
      </c>
      <c r="E21" s="169" t="s">
        <v>25</v>
      </c>
      <c r="F21" s="247">
        <v>5</v>
      </c>
      <c r="G21" s="245">
        <f>VLOOKUP(F21,$S$181:$AC$202,11,FALSE)</f>
        <v>8168</v>
      </c>
      <c r="H21" s="245">
        <f>VLOOKUP(F21,$S$181:$AB$202,10,FALSE)</f>
        <v>44</v>
      </c>
      <c r="I21" s="249">
        <f>IFERROR(Tabelle2[[#This Row],[€]]/Tabelle2[[#This Row],[Backer]],"")</f>
        <v>185.63636363636363</v>
      </c>
      <c r="J21" s="101"/>
      <c r="K21" s="101"/>
      <c r="L21" s="101"/>
      <c r="M21" s="101"/>
      <c r="N21" s="101"/>
      <c r="O21" s="101"/>
      <c r="P21" s="101"/>
      <c r="Q21" s="219"/>
      <c r="R21" s="101"/>
      <c r="S21" s="79"/>
      <c r="T21" s="79"/>
      <c r="U21" s="79"/>
      <c r="V21" s="79"/>
      <c r="W21" s="79"/>
      <c r="X21" s="79"/>
      <c r="Y21" s="79"/>
      <c r="Z21" s="79"/>
      <c r="AA21" s="75"/>
      <c r="AB21" s="75"/>
      <c r="AC21" s="75"/>
      <c r="AD21" s="95"/>
      <c r="AE21" s="75"/>
      <c r="AF21" s="75"/>
      <c r="AG21" s="75"/>
      <c r="AH21" s="75"/>
      <c r="AI21" s="75"/>
      <c r="AJ21" s="75"/>
      <c r="AK21" s="79"/>
      <c r="AL21" s="79"/>
      <c r="AM21" s="79"/>
      <c r="AN21" s="79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9"/>
      <c r="BI21" s="86"/>
      <c r="BJ21" s="86"/>
      <c r="BK21" s="79"/>
      <c r="BL21" s="79"/>
      <c r="BM21" s="86"/>
      <c r="BN21" s="86"/>
      <c r="BO21" s="79"/>
      <c r="BP21" s="79"/>
      <c r="BQ21" s="86"/>
      <c r="BR21" s="86"/>
      <c r="BS21" s="79"/>
      <c r="BT21" s="79"/>
      <c r="BU21" s="79"/>
      <c r="BV21" s="86"/>
      <c r="BW21" s="86"/>
      <c r="BX21" s="89"/>
      <c r="BY21" s="79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</row>
    <row r="22" spans="1:96" s="97" customFormat="1" ht="18" hidden="1" outlineLevel="1" x14ac:dyDescent="0.25">
      <c r="A22" s="262"/>
      <c r="B22" s="98">
        <v>6</v>
      </c>
      <c r="C22" s="99" t="s">
        <v>236</v>
      </c>
      <c r="D22" s="359">
        <f t="shared" si="1"/>
        <v>50000</v>
      </c>
      <c r="E22" s="200" t="s">
        <v>104</v>
      </c>
      <c r="F22" s="247">
        <v>6</v>
      </c>
      <c r="G22" s="245">
        <f>VLOOKUP(F22,$S$181:$AC$202,11,FALSE)</f>
        <v>18955</v>
      </c>
      <c r="H22" s="245">
        <f>VLOOKUP(F22,$S$181:$AB$202,10,FALSE)</f>
        <v>88</v>
      </c>
      <c r="I22" s="249">
        <f>IFERROR(Tabelle2[[#This Row],[€]]/Tabelle2[[#This Row],[Backer]],"")</f>
        <v>215.39772727272728</v>
      </c>
      <c r="J22" s="101"/>
      <c r="K22" s="101"/>
      <c r="L22" s="101"/>
      <c r="M22" s="101"/>
      <c r="N22" s="101"/>
      <c r="O22" s="101"/>
      <c r="P22" s="101"/>
      <c r="Q22" s="219"/>
      <c r="R22" s="101"/>
      <c r="S22" s="79"/>
      <c r="T22" s="79"/>
      <c r="U22" s="79"/>
      <c r="V22" s="79"/>
      <c r="W22" s="79"/>
      <c r="X22" s="79"/>
      <c r="Y22" s="79"/>
      <c r="Z22" s="79"/>
      <c r="AA22" s="75"/>
      <c r="AB22" s="75"/>
      <c r="AC22" s="75"/>
      <c r="AD22" s="95"/>
      <c r="AE22" s="75"/>
      <c r="AF22" s="75"/>
      <c r="AG22" s="75"/>
      <c r="AH22" s="75"/>
      <c r="AI22" s="75"/>
      <c r="AJ22" s="75"/>
      <c r="AK22" s="79"/>
      <c r="AL22" s="79"/>
      <c r="AM22" s="79"/>
      <c r="AN22" s="79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9"/>
      <c r="BI22" s="86"/>
      <c r="BJ22" s="86"/>
      <c r="BK22" s="79"/>
      <c r="BL22" s="79"/>
      <c r="BM22" s="86"/>
      <c r="BN22" s="86"/>
      <c r="BO22" s="79"/>
      <c r="BP22" s="79"/>
      <c r="BQ22" s="86"/>
      <c r="BR22" s="86"/>
      <c r="BS22" s="79"/>
      <c r="BT22" s="79"/>
      <c r="BU22" s="79"/>
      <c r="BV22" s="86"/>
      <c r="BW22" s="86"/>
      <c r="BX22" s="89"/>
      <c r="BY22" s="79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</row>
    <row r="23" spans="1:96" s="97" customFormat="1" ht="18" hidden="1" outlineLevel="1" x14ac:dyDescent="0.25">
      <c r="A23" s="262"/>
      <c r="B23" s="98">
        <v>7</v>
      </c>
      <c r="C23" s="99" t="s">
        <v>237</v>
      </c>
      <c r="D23" s="359">
        <f>D22+10000</f>
        <v>60000</v>
      </c>
      <c r="E23" s="169" t="s">
        <v>27</v>
      </c>
      <c r="F23" s="247">
        <v>7</v>
      </c>
      <c r="G23" s="245">
        <f>VLOOKUP(F23,$S$181:$AC$202,11,FALSE)</f>
        <v>13534</v>
      </c>
      <c r="H23" s="245">
        <f>VLOOKUP(F23,$S$181:$AB$202,10,FALSE)</f>
        <v>57</v>
      </c>
      <c r="I23" s="249">
        <f>IFERROR(Tabelle2[[#This Row],[€]]/Tabelle2[[#This Row],[Backer]],"")</f>
        <v>237.43859649122808</v>
      </c>
      <c r="J23" s="101"/>
      <c r="K23" s="101"/>
      <c r="L23" s="101"/>
      <c r="M23" s="101"/>
      <c r="N23" s="101"/>
      <c r="O23" s="101"/>
      <c r="P23" s="101"/>
      <c r="Q23" s="219"/>
      <c r="R23" s="101"/>
      <c r="S23" s="79"/>
      <c r="T23" s="79"/>
      <c r="U23" s="79"/>
      <c r="V23" s="79"/>
      <c r="W23" s="79"/>
      <c r="X23" s="79"/>
      <c r="Y23" s="79"/>
      <c r="Z23" s="79"/>
      <c r="AA23" s="75"/>
      <c r="AB23" s="75"/>
      <c r="AC23" s="75"/>
      <c r="AD23" s="95"/>
      <c r="AE23" s="75"/>
      <c r="AF23" s="75"/>
      <c r="AG23" s="75"/>
      <c r="AH23" s="75"/>
      <c r="AI23" s="75"/>
      <c r="AJ23" s="75"/>
      <c r="AK23" s="79"/>
      <c r="AL23" s="79"/>
      <c r="AM23" s="79"/>
      <c r="AN23" s="79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9"/>
      <c r="BI23" s="86"/>
      <c r="BJ23" s="86"/>
      <c r="BK23" s="79"/>
      <c r="BL23" s="79"/>
      <c r="BM23" s="86"/>
      <c r="BN23" s="86"/>
      <c r="BO23" s="79"/>
      <c r="BP23" s="79"/>
      <c r="BQ23" s="86"/>
      <c r="BR23" s="86"/>
      <c r="BS23" s="79"/>
      <c r="BT23" s="79"/>
      <c r="BU23" s="79"/>
      <c r="BV23" s="86"/>
      <c r="BW23" s="86"/>
      <c r="BX23" s="89"/>
      <c r="BY23" s="79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</row>
    <row r="24" spans="1:96" s="97" customFormat="1" ht="18" hidden="1" outlineLevel="1" x14ac:dyDescent="0.25">
      <c r="A24" s="262"/>
      <c r="B24" s="98">
        <v>8</v>
      </c>
      <c r="C24" s="99" t="s">
        <v>238</v>
      </c>
      <c r="D24" s="359">
        <f t="shared" ref="D24:D47" si="2">D23+10000</f>
        <v>70000</v>
      </c>
      <c r="E24" s="200" t="s">
        <v>105</v>
      </c>
      <c r="F24" s="247">
        <v>8</v>
      </c>
      <c r="G24" s="245">
        <f>VLOOKUP(F24,$S$181:$AC$202,11,FALSE)</f>
        <v>18367</v>
      </c>
      <c r="H24" s="245">
        <f>VLOOKUP(F24,$S$181:$AB$202,10,FALSE)</f>
        <v>83</v>
      </c>
      <c r="I24" s="249">
        <f>IFERROR(Tabelle2[[#This Row],[€]]/Tabelle2[[#This Row],[Backer]],"")</f>
        <v>221.28915662650601</v>
      </c>
      <c r="J24" s="101"/>
      <c r="K24" s="101"/>
      <c r="L24" s="101"/>
      <c r="M24" s="101"/>
      <c r="N24" s="101"/>
      <c r="O24" s="101"/>
      <c r="P24" s="101"/>
      <c r="Q24" s="219"/>
      <c r="R24" s="101"/>
      <c r="S24" s="79"/>
      <c r="T24" s="79"/>
      <c r="U24" s="79"/>
      <c r="V24" s="79"/>
      <c r="W24" s="79"/>
      <c r="X24" s="79"/>
      <c r="Y24" s="79"/>
      <c r="Z24" s="79"/>
      <c r="AA24" s="75"/>
      <c r="AB24" s="75"/>
      <c r="AC24" s="75"/>
      <c r="AD24" s="95"/>
      <c r="AE24" s="75"/>
      <c r="AF24" s="75"/>
      <c r="AG24" s="75"/>
      <c r="AH24" s="75"/>
      <c r="AI24" s="75"/>
      <c r="AJ24" s="75"/>
      <c r="AK24" s="79"/>
      <c r="AL24" s="79"/>
      <c r="AM24" s="79"/>
      <c r="AN24" s="79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9"/>
      <c r="BI24" s="86"/>
      <c r="BJ24" s="86"/>
      <c r="BK24" s="79"/>
      <c r="BL24" s="79"/>
      <c r="BM24" s="86"/>
      <c r="BN24" s="86"/>
      <c r="BO24" s="79"/>
      <c r="BP24" s="79"/>
      <c r="BQ24" s="86"/>
      <c r="BR24" s="86"/>
      <c r="BS24" s="79"/>
      <c r="BT24" s="79"/>
      <c r="BU24" s="79"/>
      <c r="BV24" s="86"/>
      <c r="BW24" s="86"/>
      <c r="BX24" s="89"/>
      <c r="BY24" s="79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</row>
    <row r="25" spans="1:96" s="97" customFormat="1" ht="18" hidden="1" outlineLevel="1" x14ac:dyDescent="0.25">
      <c r="A25" s="262"/>
      <c r="B25" s="98">
        <v>9</v>
      </c>
      <c r="C25" s="99" t="s">
        <v>239</v>
      </c>
      <c r="D25" s="359">
        <f t="shared" si="2"/>
        <v>80000</v>
      </c>
      <c r="E25" s="169" t="s">
        <v>29</v>
      </c>
      <c r="F25" s="247">
        <v>9</v>
      </c>
      <c r="G25" s="245">
        <f>VLOOKUP(F25,$S$181:$AC$202,11,FALSE)</f>
        <v>12142</v>
      </c>
      <c r="H25" s="245">
        <f>VLOOKUP(F25,$S$181:$AB$202,10,FALSE)</f>
        <v>59</v>
      </c>
      <c r="I25" s="249">
        <f>IFERROR(Tabelle2[[#This Row],[€]]/Tabelle2[[#This Row],[Backer]],"")</f>
        <v>205.79661016949152</v>
      </c>
      <c r="J25" s="101"/>
      <c r="K25" s="101"/>
      <c r="L25" s="101"/>
      <c r="M25" s="101"/>
      <c r="N25" s="101"/>
      <c r="O25" s="101"/>
      <c r="P25" s="101"/>
      <c r="Q25" s="219"/>
      <c r="R25" s="101"/>
      <c r="S25" s="79"/>
      <c r="T25" s="79"/>
      <c r="U25" s="79"/>
      <c r="V25" s="79"/>
      <c r="W25" s="79"/>
      <c r="X25" s="79"/>
      <c r="Y25" s="79"/>
      <c r="Z25" s="79"/>
      <c r="AA25" s="75"/>
      <c r="AB25" s="75"/>
      <c r="AC25" s="75"/>
      <c r="AD25" s="95"/>
      <c r="AE25" s="75"/>
      <c r="AF25" s="75"/>
      <c r="AG25" s="75"/>
      <c r="AH25" s="75"/>
      <c r="AI25" s="75"/>
      <c r="AJ25" s="75"/>
      <c r="AK25" s="79"/>
      <c r="AL25" s="79"/>
      <c r="AM25" s="79"/>
      <c r="AN25" s="79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9"/>
      <c r="BI25" s="86"/>
      <c r="BJ25" s="86"/>
      <c r="BK25" s="79"/>
      <c r="BL25" s="79"/>
      <c r="BM25" s="86"/>
      <c r="BN25" s="86"/>
      <c r="BO25" s="79"/>
      <c r="BP25" s="79"/>
      <c r="BQ25" s="86"/>
      <c r="BR25" s="86"/>
      <c r="BS25" s="79"/>
      <c r="BT25" s="79"/>
      <c r="BU25" s="79"/>
      <c r="BV25" s="86"/>
      <c r="BW25" s="86"/>
      <c r="BX25" s="89"/>
      <c r="BY25" s="79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</row>
    <row r="26" spans="1:96" s="97" customFormat="1" ht="18" hidden="1" outlineLevel="1" x14ac:dyDescent="0.25">
      <c r="A26" s="262"/>
      <c r="B26" s="98">
        <v>10</v>
      </c>
      <c r="C26" s="99" t="s">
        <v>240</v>
      </c>
      <c r="D26" s="359">
        <f t="shared" si="2"/>
        <v>90000</v>
      </c>
      <c r="E26" s="169" t="s">
        <v>28</v>
      </c>
      <c r="F26" s="247">
        <v>10</v>
      </c>
      <c r="G26" s="245">
        <f>VLOOKUP(F26,$S$181:$AC$202,11,FALSE)</f>
        <v>8877</v>
      </c>
      <c r="H26" s="245">
        <f>VLOOKUP(F26,$S$181:$AB$202,10,FALSE)</f>
        <v>42</v>
      </c>
      <c r="I26" s="249">
        <f>IFERROR(Tabelle2[[#This Row],[€]]/Tabelle2[[#This Row],[Backer]],"")</f>
        <v>211.35714285714286</v>
      </c>
      <c r="J26" s="101"/>
      <c r="K26" s="101"/>
      <c r="L26" s="101"/>
      <c r="M26" s="101"/>
      <c r="N26" s="101"/>
      <c r="O26" s="101"/>
      <c r="P26" s="101"/>
      <c r="Q26" s="219"/>
      <c r="R26" s="101"/>
      <c r="S26" s="79"/>
      <c r="T26" s="79"/>
      <c r="U26" s="79"/>
      <c r="V26" s="79"/>
      <c r="W26" s="79"/>
      <c r="X26" s="79"/>
      <c r="Y26" s="79"/>
      <c r="Z26" s="79"/>
      <c r="AA26" s="75"/>
      <c r="AB26" s="75"/>
      <c r="AC26" s="75"/>
      <c r="AD26" s="95"/>
      <c r="AE26" s="75"/>
      <c r="AF26" s="75"/>
      <c r="AG26" s="75"/>
      <c r="AH26" s="75"/>
      <c r="AI26" s="75"/>
      <c r="AJ26" s="75"/>
      <c r="AK26" s="79"/>
      <c r="AL26" s="79"/>
      <c r="AM26" s="79"/>
      <c r="AN26" s="79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9"/>
      <c r="BI26" s="86"/>
      <c r="BJ26" s="86"/>
      <c r="BK26" s="79"/>
      <c r="BL26" s="79"/>
      <c r="BM26" s="86"/>
      <c r="BN26" s="86"/>
      <c r="BO26" s="79"/>
      <c r="BP26" s="79"/>
      <c r="BQ26" s="86"/>
      <c r="BR26" s="86"/>
      <c r="BS26" s="79"/>
      <c r="BT26" s="79"/>
      <c r="BU26" s="79"/>
      <c r="BV26" s="86"/>
      <c r="BW26" s="86"/>
      <c r="BX26" s="89"/>
      <c r="BY26" s="79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</row>
    <row r="27" spans="1:96" s="97" customFormat="1" ht="18" hidden="1" outlineLevel="1" x14ac:dyDescent="0.25">
      <c r="A27" s="262"/>
      <c r="B27" s="98">
        <v>11</v>
      </c>
      <c r="C27" s="99" t="s">
        <v>241</v>
      </c>
      <c r="D27" s="359">
        <f t="shared" si="2"/>
        <v>100000</v>
      </c>
      <c r="E27" s="169" t="s">
        <v>30</v>
      </c>
      <c r="F27" s="247">
        <v>11</v>
      </c>
      <c r="G27" s="245">
        <f>VLOOKUP(F27,$S$181:$AC$202,11,FALSE)</f>
        <v>8917</v>
      </c>
      <c r="H27" s="245">
        <f>VLOOKUP(F27,$S$181:$AB$202,10,FALSE)</f>
        <v>42</v>
      </c>
      <c r="I27" s="249">
        <f>IFERROR(Tabelle2[[#This Row],[€]]/Tabelle2[[#This Row],[Backer]],"")</f>
        <v>212.3095238095238</v>
      </c>
      <c r="J27" s="101"/>
      <c r="K27" s="101"/>
      <c r="L27" s="101"/>
      <c r="M27" s="101"/>
      <c r="N27" s="101"/>
      <c r="O27" s="101"/>
      <c r="P27" s="101"/>
      <c r="Q27" s="219"/>
      <c r="R27" s="101"/>
      <c r="S27" s="79"/>
      <c r="T27" s="79"/>
      <c r="U27" s="79"/>
      <c r="V27" s="79"/>
      <c r="W27" s="79"/>
      <c r="X27" s="79"/>
      <c r="Y27" s="79"/>
      <c r="Z27" s="79"/>
      <c r="AA27" s="75"/>
      <c r="AB27" s="75"/>
      <c r="AC27" s="75"/>
      <c r="AD27" s="95"/>
      <c r="AE27" s="75"/>
      <c r="AF27" s="75"/>
      <c r="AG27" s="75"/>
      <c r="AH27" s="75"/>
      <c r="AI27" s="75"/>
      <c r="AJ27" s="75"/>
      <c r="AK27" s="79"/>
      <c r="AL27" s="79"/>
      <c r="AM27" s="79"/>
      <c r="AN27" s="79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9"/>
      <c r="BI27" s="86"/>
      <c r="BJ27" s="86"/>
      <c r="BK27" s="79"/>
      <c r="BL27" s="79"/>
      <c r="BM27" s="86"/>
      <c r="BN27" s="86"/>
      <c r="BO27" s="79"/>
      <c r="BP27" s="79"/>
      <c r="BQ27" s="86"/>
      <c r="BR27" s="86"/>
      <c r="BS27" s="79"/>
      <c r="BT27" s="79"/>
      <c r="BU27" s="79"/>
      <c r="BV27" s="86"/>
      <c r="BW27" s="86"/>
      <c r="BX27" s="89"/>
      <c r="BY27" s="79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</row>
    <row r="28" spans="1:96" s="97" customFormat="1" ht="18" hidden="1" outlineLevel="1" x14ac:dyDescent="0.25">
      <c r="A28" s="262"/>
      <c r="B28" s="98">
        <v>12</v>
      </c>
      <c r="C28" s="99" t="s">
        <v>250</v>
      </c>
      <c r="D28" s="359">
        <f t="shared" si="2"/>
        <v>110000</v>
      </c>
      <c r="E28" s="169" t="s">
        <v>106</v>
      </c>
      <c r="F28" s="247">
        <v>12</v>
      </c>
      <c r="G28" s="245">
        <f>VLOOKUP(F28,$S$181:$AC$202,11,FALSE)</f>
        <v>9070</v>
      </c>
      <c r="H28" s="245">
        <f>VLOOKUP(F28,$S$181:$AB$202,10,FALSE)</f>
        <v>41</v>
      </c>
      <c r="I28" s="249">
        <f>IFERROR(Tabelle2[[#This Row],[€]]/Tabelle2[[#This Row],[Backer]],"")</f>
        <v>221.21951219512195</v>
      </c>
      <c r="J28" s="101"/>
      <c r="K28" s="101"/>
      <c r="L28" s="101"/>
      <c r="M28" s="101"/>
      <c r="N28" s="101"/>
      <c r="O28" s="101"/>
      <c r="P28" s="101"/>
      <c r="Q28" s="219"/>
      <c r="R28" s="101"/>
      <c r="S28" s="79"/>
      <c r="T28" s="79"/>
      <c r="U28" s="79"/>
      <c r="V28" s="79"/>
      <c r="W28" s="79"/>
      <c r="X28" s="79"/>
      <c r="Y28" s="79"/>
      <c r="Z28" s="79"/>
      <c r="AA28" s="75"/>
      <c r="AB28" s="75"/>
      <c r="AC28" s="75"/>
      <c r="AD28" s="95"/>
      <c r="AE28" s="75"/>
      <c r="AF28" s="75"/>
      <c r="AG28" s="75"/>
      <c r="AH28" s="75"/>
      <c r="AI28" s="75"/>
      <c r="AJ28" s="75"/>
      <c r="AK28" s="79"/>
      <c r="AL28" s="79"/>
      <c r="AM28" s="79"/>
      <c r="AN28" s="79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9"/>
      <c r="BI28" s="86"/>
      <c r="BJ28" s="86"/>
      <c r="BK28" s="79"/>
      <c r="BL28" s="79"/>
      <c r="BM28" s="86"/>
      <c r="BN28" s="86"/>
      <c r="BO28" s="79"/>
      <c r="BP28" s="79"/>
      <c r="BQ28" s="86"/>
      <c r="BR28" s="86"/>
      <c r="BS28" s="79"/>
      <c r="BT28" s="79"/>
      <c r="BU28" s="79"/>
      <c r="BV28" s="86"/>
      <c r="BW28" s="86"/>
      <c r="BX28" s="89"/>
      <c r="BY28" s="79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</row>
    <row r="29" spans="1:96" s="97" customFormat="1" ht="18" hidden="1" outlineLevel="1" x14ac:dyDescent="0.25">
      <c r="A29" s="262"/>
      <c r="B29" s="98">
        <v>13</v>
      </c>
      <c r="C29" s="99" t="s">
        <v>251</v>
      </c>
      <c r="D29" s="359">
        <f t="shared" si="2"/>
        <v>120000</v>
      </c>
      <c r="E29" s="169" t="s">
        <v>34</v>
      </c>
      <c r="F29" s="247">
        <v>13</v>
      </c>
      <c r="G29" s="245">
        <f>VLOOKUP(F29,$S$181:$AC$202,11,FALSE)</f>
        <v>7837</v>
      </c>
      <c r="H29" s="245">
        <f>VLOOKUP(F29,$S$181:$AB$202,10,FALSE)</f>
        <v>35</v>
      </c>
      <c r="I29" s="249">
        <f>IFERROR(Tabelle2[[#This Row],[€]]/Tabelle2[[#This Row],[Backer]],"")</f>
        <v>223.91428571428571</v>
      </c>
      <c r="J29" s="101"/>
      <c r="K29" s="101"/>
      <c r="L29" s="101"/>
      <c r="M29" s="101"/>
      <c r="N29" s="101"/>
      <c r="O29" s="101"/>
      <c r="P29" s="101"/>
      <c r="Q29" s="219"/>
      <c r="R29" s="101"/>
      <c r="S29" s="79"/>
      <c r="T29" s="79"/>
      <c r="U29" s="79"/>
      <c r="V29" s="79"/>
      <c r="W29" s="79"/>
      <c r="X29" s="79"/>
      <c r="Y29" s="79"/>
      <c r="Z29" s="79"/>
      <c r="AA29" s="75"/>
      <c r="AB29" s="75"/>
      <c r="AC29" s="75"/>
      <c r="AD29" s="95"/>
      <c r="AE29" s="75"/>
      <c r="AF29" s="75"/>
      <c r="AG29" s="75"/>
      <c r="AH29" s="75"/>
      <c r="AI29" s="75"/>
      <c r="AJ29" s="75"/>
      <c r="AK29" s="79"/>
      <c r="AL29" s="79"/>
      <c r="AM29" s="79"/>
      <c r="AN29" s="79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9"/>
      <c r="BI29" s="86"/>
      <c r="BJ29" s="86"/>
      <c r="BK29" s="79"/>
      <c r="BL29" s="79"/>
      <c r="BM29" s="86"/>
      <c r="BN29" s="86"/>
      <c r="BO29" s="79"/>
      <c r="BP29" s="79"/>
      <c r="BQ29" s="86"/>
      <c r="BR29" s="86"/>
      <c r="BS29" s="79"/>
      <c r="BT29" s="79"/>
      <c r="BU29" s="79"/>
      <c r="BV29" s="86"/>
      <c r="BW29" s="86"/>
      <c r="BX29" s="89"/>
      <c r="BY29" s="79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</row>
    <row r="30" spans="1:96" s="97" customFormat="1" ht="18" hidden="1" outlineLevel="1" x14ac:dyDescent="0.25">
      <c r="A30" s="262"/>
      <c r="B30" s="98">
        <v>14</v>
      </c>
      <c r="C30" s="99" t="s">
        <v>252</v>
      </c>
      <c r="D30" s="359">
        <f t="shared" si="2"/>
        <v>130000</v>
      </c>
      <c r="E30" s="169" t="s">
        <v>107</v>
      </c>
      <c r="F30" s="247">
        <v>14</v>
      </c>
      <c r="G30" s="245">
        <f>VLOOKUP(F30,$S$181:$AC$202,11,FALSE)</f>
        <v>11090</v>
      </c>
      <c r="H30" s="245">
        <f>VLOOKUP(F30,$S$181:$AB$202,10,FALSE)</f>
        <v>49</v>
      </c>
      <c r="I30" s="249">
        <f>IFERROR(Tabelle2[[#This Row],[€]]/Tabelle2[[#This Row],[Backer]],"")</f>
        <v>226.32653061224491</v>
      </c>
      <c r="J30" s="101"/>
      <c r="K30" s="101"/>
      <c r="L30" s="101"/>
      <c r="M30" s="101"/>
      <c r="N30" s="101"/>
      <c r="O30" s="101"/>
      <c r="P30" s="101"/>
      <c r="Q30" s="219"/>
      <c r="R30" s="101"/>
      <c r="S30" s="79"/>
      <c r="T30" s="79"/>
      <c r="U30" s="79"/>
      <c r="V30" s="79"/>
      <c r="W30" s="79"/>
      <c r="X30" s="79"/>
      <c r="Y30" s="79"/>
      <c r="Z30" s="79"/>
      <c r="AA30" s="75"/>
      <c r="AB30" s="75"/>
      <c r="AC30" s="75"/>
      <c r="AD30" s="95"/>
      <c r="AE30" s="75"/>
      <c r="AF30" s="75"/>
      <c r="AG30" s="75"/>
      <c r="AH30" s="75"/>
      <c r="AI30" s="75"/>
      <c r="AJ30" s="75"/>
      <c r="AK30" s="79"/>
      <c r="AL30" s="79"/>
      <c r="AM30" s="79"/>
      <c r="AN30" s="79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9"/>
      <c r="BI30" s="86"/>
      <c r="BJ30" s="86"/>
      <c r="BK30" s="79"/>
      <c r="BL30" s="79"/>
      <c r="BM30" s="86"/>
      <c r="BN30" s="86"/>
      <c r="BO30" s="79"/>
      <c r="BP30" s="79"/>
      <c r="BQ30" s="86"/>
      <c r="BR30" s="86"/>
      <c r="BS30" s="79"/>
      <c r="BT30" s="79"/>
      <c r="BU30" s="79"/>
      <c r="BV30" s="86"/>
      <c r="BW30" s="86"/>
      <c r="BX30" s="89"/>
      <c r="BY30" s="79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</row>
    <row r="31" spans="1:96" s="97" customFormat="1" ht="18" hidden="1" outlineLevel="1" x14ac:dyDescent="0.25">
      <c r="A31" s="262"/>
      <c r="B31" s="98">
        <v>15</v>
      </c>
      <c r="C31" s="99" t="s">
        <v>296</v>
      </c>
      <c r="D31" s="359">
        <f t="shared" si="2"/>
        <v>140000</v>
      </c>
      <c r="E31" s="169" t="s">
        <v>35</v>
      </c>
      <c r="F31" s="247">
        <v>15</v>
      </c>
      <c r="G31" s="245">
        <f>VLOOKUP(F31,$S$181:$AC$202,11,FALSE)</f>
        <v>8209</v>
      </c>
      <c r="H31" s="245">
        <f>VLOOKUP(F31,$S$181:$AB$202,10,FALSE)</f>
        <v>36</v>
      </c>
      <c r="I31" s="249">
        <f>IFERROR(Tabelle2[[#This Row],[€]]/Tabelle2[[#This Row],[Backer]],"")</f>
        <v>228.02777777777777</v>
      </c>
      <c r="J31" s="101"/>
      <c r="K31" s="101"/>
      <c r="L31" s="101"/>
      <c r="M31" s="101"/>
      <c r="N31" s="101"/>
      <c r="O31" s="101"/>
      <c r="P31" s="101"/>
      <c r="Q31" s="219"/>
      <c r="R31" s="101"/>
      <c r="S31" s="79"/>
      <c r="T31" s="79"/>
      <c r="U31" s="79"/>
      <c r="V31" s="79"/>
      <c r="W31" s="79"/>
      <c r="X31" s="79"/>
      <c r="Y31" s="79"/>
      <c r="Z31" s="79"/>
      <c r="AA31" s="75"/>
      <c r="AB31" s="75"/>
      <c r="AC31" s="75"/>
      <c r="AD31" s="95"/>
      <c r="AE31" s="75"/>
      <c r="AF31" s="75"/>
      <c r="AG31" s="75"/>
      <c r="AH31" s="75"/>
      <c r="AI31" s="75"/>
      <c r="AJ31" s="75"/>
      <c r="AK31" s="79"/>
      <c r="AL31" s="79"/>
      <c r="AM31" s="79"/>
      <c r="AN31" s="79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9"/>
      <c r="BI31" s="86"/>
      <c r="BJ31" s="86"/>
      <c r="BK31" s="79"/>
      <c r="BL31" s="79"/>
      <c r="BM31" s="86"/>
      <c r="BN31" s="86"/>
      <c r="BO31" s="79"/>
      <c r="BP31" s="79"/>
      <c r="BQ31" s="86"/>
      <c r="BR31" s="86"/>
      <c r="BS31" s="79"/>
      <c r="BT31" s="79"/>
      <c r="BU31" s="79"/>
      <c r="BV31" s="86"/>
      <c r="BW31" s="86"/>
      <c r="BX31" s="89"/>
      <c r="BY31" s="79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</row>
    <row r="32" spans="1:96" s="97" customFormat="1" ht="18" hidden="1" outlineLevel="1" x14ac:dyDescent="0.25">
      <c r="A32" s="262"/>
      <c r="B32" s="98">
        <v>16</v>
      </c>
      <c r="C32" s="99" t="s">
        <v>297</v>
      </c>
      <c r="D32" s="359">
        <f t="shared" si="2"/>
        <v>150000</v>
      </c>
      <c r="E32" s="169" t="s">
        <v>108</v>
      </c>
      <c r="F32" s="247">
        <v>16</v>
      </c>
      <c r="G32" s="245">
        <f>VLOOKUP(F32,$S$181:$AC$202,11,FALSE)</f>
        <v>8666</v>
      </c>
      <c r="H32" s="245">
        <f>VLOOKUP(F32,$S$181:$AB$202,10,FALSE)</f>
        <v>38</v>
      </c>
      <c r="I32" s="249">
        <f>IFERROR(Tabelle2[[#This Row],[€]]/Tabelle2[[#This Row],[Backer]],"")</f>
        <v>228.05263157894737</v>
      </c>
      <c r="J32" s="101"/>
      <c r="K32" s="101"/>
      <c r="L32" s="101"/>
      <c r="M32" s="101"/>
      <c r="N32" s="101"/>
      <c r="O32" s="101"/>
      <c r="P32" s="101"/>
      <c r="Q32" s="219"/>
      <c r="R32" s="101"/>
      <c r="S32" s="79"/>
      <c r="T32" s="79"/>
      <c r="U32" s="79"/>
      <c r="V32" s="79"/>
      <c r="W32" s="79"/>
      <c r="X32" s="79"/>
      <c r="Y32" s="79"/>
      <c r="Z32" s="79"/>
      <c r="AA32" s="75"/>
      <c r="AB32" s="75"/>
      <c r="AC32" s="75"/>
      <c r="AD32" s="95"/>
      <c r="AE32" s="75"/>
      <c r="AF32" s="75"/>
      <c r="AG32" s="75"/>
      <c r="AH32" s="75"/>
      <c r="AI32" s="75"/>
      <c r="AJ32" s="75"/>
      <c r="AK32" s="79"/>
      <c r="AL32" s="79"/>
      <c r="AM32" s="79"/>
      <c r="AN32" s="79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9"/>
      <c r="BI32" s="86"/>
      <c r="BJ32" s="86"/>
      <c r="BK32" s="79"/>
      <c r="BL32" s="79"/>
      <c r="BM32" s="86"/>
      <c r="BN32" s="86"/>
      <c r="BO32" s="79"/>
      <c r="BP32" s="79"/>
      <c r="BQ32" s="86"/>
      <c r="BR32" s="86"/>
      <c r="BS32" s="79"/>
      <c r="BT32" s="79"/>
      <c r="BU32" s="79"/>
      <c r="BV32" s="86"/>
      <c r="BW32" s="86"/>
      <c r="BX32" s="89"/>
      <c r="BY32" s="79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</row>
    <row r="33" spans="1:96" s="97" customFormat="1" ht="18" hidden="1" outlineLevel="1" x14ac:dyDescent="0.25">
      <c r="A33" s="262"/>
      <c r="B33" s="98">
        <v>17</v>
      </c>
      <c r="C33" s="99" t="s">
        <v>298</v>
      </c>
      <c r="D33" s="359">
        <f t="shared" si="2"/>
        <v>160000</v>
      </c>
      <c r="E33" s="169" t="s">
        <v>109</v>
      </c>
      <c r="F33" s="247">
        <v>17</v>
      </c>
      <c r="G33" s="245">
        <f>VLOOKUP(F33,$S$181:$AC$202,11,FALSE)</f>
        <v>11228</v>
      </c>
      <c r="H33" s="245">
        <f>VLOOKUP(F33,$S$181:$AB$202,10,FALSE)</f>
        <v>26</v>
      </c>
      <c r="I33" s="249">
        <f>IFERROR(Tabelle2[[#This Row],[€]]/Tabelle2[[#This Row],[Backer]],"")</f>
        <v>431.84615384615387</v>
      </c>
      <c r="J33" s="101"/>
      <c r="K33" s="101"/>
      <c r="L33" s="101"/>
      <c r="M33" s="101"/>
      <c r="N33" s="101"/>
      <c r="O33" s="101"/>
      <c r="P33" s="101"/>
      <c r="Q33" s="219"/>
      <c r="R33" s="101"/>
      <c r="S33" s="79"/>
      <c r="T33" s="79"/>
      <c r="U33" s="79"/>
      <c r="V33" s="79"/>
      <c r="W33" s="79"/>
      <c r="X33" s="79"/>
      <c r="Y33" s="79"/>
      <c r="Z33" s="79"/>
      <c r="AA33" s="75"/>
      <c r="AB33" s="75"/>
      <c r="AC33" s="75"/>
      <c r="AD33" s="95"/>
      <c r="AE33" s="75"/>
      <c r="AF33" s="75"/>
      <c r="AG33" s="75"/>
      <c r="AH33" s="75"/>
      <c r="AI33" s="75"/>
      <c r="AJ33" s="75"/>
      <c r="AK33" s="79"/>
      <c r="AL33" s="79"/>
      <c r="AM33" s="79"/>
      <c r="AN33" s="79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9"/>
      <c r="BI33" s="86"/>
      <c r="BJ33" s="86"/>
      <c r="BK33" s="79"/>
      <c r="BL33" s="79"/>
      <c r="BM33" s="86"/>
      <c r="BN33" s="86"/>
      <c r="BO33" s="79"/>
      <c r="BP33" s="79"/>
      <c r="BQ33" s="86"/>
      <c r="BR33" s="86"/>
      <c r="BS33" s="79"/>
      <c r="BT33" s="79"/>
      <c r="BU33" s="79"/>
      <c r="BV33" s="86"/>
      <c r="BW33" s="86"/>
      <c r="BX33" s="89"/>
      <c r="BY33" s="79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</row>
    <row r="34" spans="1:96" s="97" customFormat="1" ht="18" hidden="1" outlineLevel="1" x14ac:dyDescent="0.25">
      <c r="A34" s="262"/>
      <c r="B34" s="98">
        <v>18</v>
      </c>
      <c r="C34" s="99" t="s">
        <v>299</v>
      </c>
      <c r="D34" s="359">
        <f t="shared" si="2"/>
        <v>170000</v>
      </c>
      <c r="E34" s="169" t="s">
        <v>110</v>
      </c>
      <c r="F34" s="247">
        <v>18</v>
      </c>
      <c r="G34" s="245">
        <f>VLOOKUP(F34,$S$181:$AC$202,11,FALSE)</f>
        <v>11938</v>
      </c>
      <c r="H34" s="245">
        <f>VLOOKUP(F34,$S$181:$AB$202,10,FALSE)</f>
        <v>50</v>
      </c>
      <c r="I34" s="249">
        <f>IFERROR(Tabelle2[[#This Row],[€]]/Tabelle2[[#This Row],[Backer]],"")</f>
        <v>238.76</v>
      </c>
      <c r="J34" s="101"/>
      <c r="K34" s="101"/>
      <c r="L34" s="101"/>
      <c r="M34" s="101"/>
      <c r="N34" s="101"/>
      <c r="O34" s="101"/>
      <c r="P34" s="101"/>
      <c r="Q34" s="219"/>
      <c r="R34" s="101"/>
      <c r="S34" s="79"/>
      <c r="T34" s="79"/>
      <c r="U34" s="79"/>
      <c r="V34" s="79"/>
      <c r="W34" s="79"/>
      <c r="X34" s="79"/>
      <c r="Y34" s="79"/>
      <c r="Z34" s="79"/>
      <c r="AA34" s="75"/>
      <c r="AB34" s="75"/>
      <c r="AC34" s="75"/>
      <c r="AD34" s="95"/>
      <c r="AE34" s="75"/>
      <c r="AF34" s="75"/>
      <c r="AG34" s="75"/>
      <c r="AH34" s="75"/>
      <c r="AI34" s="75"/>
      <c r="AJ34" s="75"/>
      <c r="AK34" s="79"/>
      <c r="AL34" s="79"/>
      <c r="AM34" s="79"/>
      <c r="AN34" s="79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9"/>
      <c r="BI34" s="86"/>
      <c r="BJ34" s="86"/>
      <c r="BK34" s="79"/>
      <c r="BL34" s="79"/>
      <c r="BM34" s="86"/>
      <c r="BN34" s="86"/>
      <c r="BO34" s="79"/>
      <c r="BP34" s="79"/>
      <c r="BQ34" s="86"/>
      <c r="BR34" s="86"/>
      <c r="BS34" s="79"/>
      <c r="BT34" s="79"/>
      <c r="BU34" s="79"/>
      <c r="BV34" s="86"/>
      <c r="BW34" s="86"/>
      <c r="BX34" s="89"/>
      <c r="BY34" s="79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</row>
    <row r="35" spans="1:96" s="97" customFormat="1" ht="18" hidden="1" outlineLevel="1" x14ac:dyDescent="0.25">
      <c r="A35" s="262"/>
      <c r="B35" s="98">
        <v>19</v>
      </c>
      <c r="C35" s="99" t="s">
        <v>300</v>
      </c>
      <c r="D35" s="359">
        <f t="shared" si="2"/>
        <v>180000</v>
      </c>
      <c r="E35" s="169" t="s">
        <v>113</v>
      </c>
      <c r="F35" s="247">
        <v>19</v>
      </c>
      <c r="G35" s="245">
        <f>VLOOKUP(F35,$S$181:$AC$202,11,FALSE)</f>
        <v>18809</v>
      </c>
      <c r="H35" s="245">
        <f>VLOOKUP(F35,$S$181:$AB$202,10,FALSE)</f>
        <v>80</v>
      </c>
      <c r="I35" s="249">
        <f>IFERROR(Tabelle2[[#This Row],[€]]/Tabelle2[[#This Row],[Backer]],"")</f>
        <v>235.11250000000001</v>
      </c>
      <c r="J35" s="101"/>
      <c r="K35" s="101"/>
      <c r="L35" s="101"/>
      <c r="M35" s="101"/>
      <c r="N35" s="101"/>
      <c r="O35" s="101"/>
      <c r="P35" s="101"/>
      <c r="Q35" s="219"/>
      <c r="R35" s="101"/>
      <c r="S35" s="79"/>
      <c r="T35" s="79"/>
      <c r="U35" s="79"/>
      <c r="V35" s="79"/>
      <c r="W35" s="79"/>
      <c r="X35" s="79"/>
      <c r="Y35" s="79"/>
      <c r="Z35" s="79"/>
      <c r="AA35" s="75"/>
      <c r="AB35" s="75"/>
      <c r="AC35" s="75"/>
      <c r="AD35" s="95"/>
      <c r="AE35" s="75"/>
      <c r="AF35" s="75"/>
      <c r="AG35" s="75"/>
      <c r="AH35" s="75"/>
      <c r="AI35" s="75"/>
      <c r="AJ35" s="75"/>
      <c r="AK35" s="79"/>
      <c r="AL35" s="79"/>
      <c r="AM35" s="79"/>
      <c r="AN35" s="79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9"/>
      <c r="BI35" s="86"/>
      <c r="BJ35" s="86"/>
      <c r="BK35" s="79"/>
      <c r="BL35" s="79"/>
      <c r="BM35" s="86"/>
      <c r="BN35" s="86"/>
      <c r="BO35" s="79"/>
      <c r="BP35" s="79"/>
      <c r="BQ35" s="86"/>
      <c r="BR35" s="86"/>
      <c r="BS35" s="79"/>
      <c r="BT35" s="79"/>
      <c r="BU35" s="79"/>
      <c r="BV35" s="86"/>
      <c r="BW35" s="86"/>
      <c r="BX35" s="89"/>
      <c r="BY35" s="79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</row>
    <row r="36" spans="1:96" s="97" customFormat="1" ht="18" hidden="1" outlineLevel="1" x14ac:dyDescent="0.25">
      <c r="A36" s="262"/>
      <c r="B36" s="98">
        <v>20</v>
      </c>
      <c r="C36" s="99" t="s">
        <v>301</v>
      </c>
      <c r="D36" s="359">
        <f t="shared" si="2"/>
        <v>190000</v>
      </c>
      <c r="E36" s="169" t="s">
        <v>111</v>
      </c>
      <c r="F36" s="247">
        <v>20</v>
      </c>
      <c r="G36" s="245">
        <f>VLOOKUP(F36,$S$181:$AC$202,11,FALSE)</f>
        <v>31195</v>
      </c>
      <c r="H36" s="245">
        <f>VLOOKUP(F36,$S$181:$AB$202,10,FALSE)</f>
        <v>131</v>
      </c>
      <c r="I36" s="249">
        <f>IFERROR(Tabelle2[[#This Row],[€]]/Tabelle2[[#This Row],[Backer]],"")</f>
        <v>238.12977099236642</v>
      </c>
      <c r="J36" s="101"/>
      <c r="K36" s="101"/>
      <c r="L36" s="101"/>
      <c r="M36" s="101"/>
      <c r="N36" s="101"/>
      <c r="O36" s="101"/>
      <c r="P36" s="101"/>
      <c r="Q36" s="219"/>
      <c r="R36" s="101"/>
      <c r="S36" s="79"/>
      <c r="T36" s="79"/>
      <c r="U36" s="79"/>
      <c r="V36" s="79"/>
      <c r="W36" s="79"/>
      <c r="X36" s="79"/>
      <c r="Y36" s="79"/>
      <c r="Z36" s="79"/>
      <c r="AA36" s="75"/>
      <c r="AB36" s="75"/>
      <c r="AC36" s="75"/>
      <c r="AD36" s="95"/>
      <c r="AE36" s="75"/>
      <c r="AF36" s="75"/>
      <c r="AG36" s="75"/>
      <c r="AH36" s="75"/>
      <c r="AI36" s="75"/>
      <c r="AJ36" s="75"/>
      <c r="AK36" s="79"/>
      <c r="AL36" s="79"/>
      <c r="AM36" s="79"/>
      <c r="AN36" s="79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9"/>
      <c r="BI36" s="86"/>
      <c r="BJ36" s="86"/>
      <c r="BK36" s="79"/>
      <c r="BL36" s="79"/>
      <c r="BM36" s="86"/>
      <c r="BN36" s="86"/>
      <c r="BO36" s="79"/>
      <c r="BP36" s="79"/>
      <c r="BQ36" s="86"/>
      <c r="BR36" s="86"/>
      <c r="BS36" s="79"/>
      <c r="BT36" s="79"/>
      <c r="BU36" s="79"/>
      <c r="BV36" s="86"/>
      <c r="BW36" s="86"/>
      <c r="BX36" s="89"/>
      <c r="BY36" s="79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</row>
    <row r="37" spans="1:96" s="97" customFormat="1" ht="18" hidden="1" outlineLevel="1" x14ac:dyDescent="0.25">
      <c r="A37" s="262"/>
      <c r="B37" s="98">
        <v>21</v>
      </c>
      <c r="C37" s="99" t="s">
        <v>316</v>
      </c>
      <c r="D37" s="359">
        <f t="shared" si="2"/>
        <v>200000</v>
      </c>
      <c r="E37" s="174" t="s">
        <v>112</v>
      </c>
      <c r="F37" s="248">
        <v>21</v>
      </c>
      <c r="G37" s="246">
        <f>VLOOKUP(F37,$S$181:$AC$202,11,FALSE)</f>
        <v>38585.038805970165</v>
      </c>
      <c r="H37" s="246">
        <f>VLOOKUP(F37,$S$181:$AB$202,10,FALSE)</f>
        <v>164</v>
      </c>
      <c r="I37" s="250">
        <f>IFERROR(Tabelle2[[#This Row],[€]]/Tabelle2[[#This Row],[Backer]],"")</f>
        <v>235.27462686567173</v>
      </c>
      <c r="J37" s="101"/>
      <c r="K37" s="101"/>
      <c r="L37" s="101"/>
      <c r="M37" s="101"/>
      <c r="N37" s="101"/>
      <c r="O37" s="101"/>
      <c r="P37" s="101"/>
      <c r="Q37" s="219"/>
      <c r="R37" s="101"/>
      <c r="S37" s="79"/>
      <c r="T37" s="79"/>
      <c r="U37" s="79"/>
      <c r="V37" s="79"/>
      <c r="W37" s="79"/>
      <c r="X37" s="79"/>
      <c r="Y37" s="79"/>
      <c r="Z37" s="79"/>
      <c r="AA37" s="75"/>
      <c r="AB37" s="75"/>
      <c r="AC37" s="75"/>
      <c r="AD37" s="95"/>
      <c r="AE37" s="75"/>
      <c r="AF37" s="75"/>
      <c r="AG37" s="75"/>
      <c r="AH37" s="75"/>
      <c r="AI37" s="75"/>
      <c r="AJ37" s="75"/>
      <c r="AK37" s="79"/>
      <c r="AL37" s="79"/>
      <c r="AM37" s="79"/>
      <c r="AN37" s="79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9"/>
      <c r="BI37" s="86"/>
      <c r="BJ37" s="86"/>
      <c r="BK37" s="79"/>
      <c r="BL37" s="79"/>
      <c r="BM37" s="86"/>
      <c r="BN37" s="86"/>
      <c r="BO37" s="79"/>
      <c r="BP37" s="79"/>
      <c r="BQ37" s="86"/>
      <c r="BR37" s="86"/>
      <c r="BS37" s="79"/>
      <c r="BT37" s="79"/>
      <c r="BU37" s="79"/>
      <c r="BV37" s="86"/>
      <c r="BW37" s="86"/>
      <c r="BX37" s="89"/>
      <c r="BY37" s="79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</row>
    <row r="38" spans="1:96" s="97" customFormat="1" ht="18" hidden="1" outlineLevel="1" x14ac:dyDescent="0.3">
      <c r="A38" s="262"/>
      <c r="B38" s="98">
        <v>22</v>
      </c>
      <c r="C38" s="99" t="s">
        <v>317</v>
      </c>
      <c r="D38" s="359">
        <f t="shared" si="2"/>
        <v>210000</v>
      </c>
      <c r="E38" s="104"/>
      <c r="F38" s="101"/>
      <c r="G38" s="101"/>
      <c r="H38" s="101"/>
      <c r="I38" s="101"/>
      <c r="J38" s="101"/>
      <c r="K38" s="101"/>
      <c r="L38" s="101"/>
      <c r="M38" s="101"/>
      <c r="N38" s="101"/>
      <c r="O38" s="237"/>
      <c r="P38" s="101"/>
      <c r="Q38" s="219"/>
      <c r="R38" s="101"/>
      <c r="S38" s="79"/>
      <c r="T38" s="79"/>
      <c r="U38" s="79"/>
      <c r="V38" s="79"/>
      <c r="W38" s="79"/>
      <c r="X38" s="79"/>
      <c r="Y38" s="79"/>
      <c r="Z38" s="79"/>
      <c r="AA38" s="75"/>
      <c r="AB38" s="75"/>
      <c r="AC38" s="75"/>
      <c r="AD38" s="95"/>
      <c r="AE38" s="75"/>
      <c r="AF38" s="75"/>
      <c r="AG38" s="75"/>
      <c r="AH38" s="75"/>
      <c r="AI38" s="75"/>
      <c r="AJ38" s="75"/>
      <c r="AK38" s="75"/>
      <c r="AL38" s="79"/>
      <c r="AM38" s="79"/>
      <c r="AN38" s="79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9"/>
      <c r="BI38" s="86"/>
      <c r="BJ38" s="86"/>
      <c r="BK38" s="79"/>
      <c r="BL38" s="79"/>
      <c r="BM38" s="86"/>
      <c r="BN38" s="86"/>
      <c r="BO38" s="79"/>
      <c r="BP38" s="79"/>
      <c r="BQ38" s="86"/>
      <c r="BR38" s="86"/>
      <c r="BS38" s="79"/>
      <c r="BT38" s="79"/>
      <c r="BU38" s="79"/>
      <c r="BV38" s="86"/>
      <c r="BW38" s="86"/>
      <c r="BX38" s="89"/>
      <c r="BY38" s="79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</row>
    <row r="39" spans="1:96" s="97" customFormat="1" ht="18" hidden="1" outlineLevel="1" x14ac:dyDescent="0.3">
      <c r="A39" s="262"/>
      <c r="B39" s="98">
        <v>23</v>
      </c>
      <c r="C39" s="99" t="s">
        <v>318</v>
      </c>
      <c r="D39" s="359">
        <f t="shared" si="2"/>
        <v>220000</v>
      </c>
      <c r="E39" s="104"/>
      <c r="F39" s="101"/>
      <c r="G39" s="101"/>
      <c r="H39" s="101"/>
      <c r="I39" s="101"/>
      <c r="J39" s="101"/>
      <c r="K39" s="101"/>
      <c r="L39" s="101"/>
      <c r="M39" s="101"/>
      <c r="N39" s="101"/>
      <c r="O39" s="237"/>
      <c r="P39" s="101"/>
      <c r="Q39" s="219"/>
      <c r="R39" s="101"/>
      <c r="S39" s="79"/>
      <c r="T39" s="79"/>
      <c r="U39" s="79"/>
      <c r="V39" s="79"/>
      <c r="W39" s="79"/>
      <c r="X39" s="79"/>
      <c r="Y39" s="79"/>
      <c r="Z39" s="79"/>
      <c r="AA39" s="75"/>
      <c r="AB39" s="75"/>
      <c r="AC39" s="75"/>
      <c r="AD39" s="95"/>
      <c r="AE39" s="75"/>
      <c r="AF39" s="75"/>
      <c r="AG39" s="75"/>
      <c r="AH39" s="75"/>
      <c r="AI39" s="75"/>
      <c r="AJ39" s="75"/>
      <c r="AK39" s="75"/>
      <c r="AL39" s="79"/>
      <c r="AM39" s="79"/>
      <c r="AN39" s="79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9"/>
      <c r="BI39" s="86"/>
      <c r="BJ39" s="86"/>
      <c r="BK39" s="79"/>
      <c r="BL39" s="79"/>
      <c r="BM39" s="86"/>
      <c r="BN39" s="86"/>
      <c r="BO39" s="79"/>
      <c r="BP39" s="79"/>
      <c r="BQ39" s="86"/>
      <c r="BR39" s="86"/>
      <c r="BS39" s="79"/>
      <c r="BT39" s="79"/>
      <c r="BU39" s="79"/>
      <c r="BV39" s="86"/>
      <c r="BW39" s="86"/>
      <c r="BX39" s="89"/>
      <c r="BY39" s="79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</row>
    <row r="40" spans="1:96" s="97" customFormat="1" ht="18" hidden="1" outlineLevel="1" x14ac:dyDescent="0.3">
      <c r="A40" s="262"/>
      <c r="B40" s="98">
        <v>24</v>
      </c>
      <c r="C40" s="99" t="s">
        <v>320</v>
      </c>
      <c r="D40" s="359">
        <f t="shared" si="2"/>
        <v>230000</v>
      </c>
      <c r="E40" s="104"/>
      <c r="F40" s="101"/>
      <c r="G40" s="101"/>
      <c r="H40" s="101"/>
      <c r="I40" s="101"/>
      <c r="J40" s="101"/>
      <c r="K40" s="101"/>
      <c r="L40" s="101"/>
      <c r="M40" s="101"/>
      <c r="N40" s="101"/>
      <c r="O40" s="237"/>
      <c r="P40" s="101"/>
      <c r="Q40" s="219"/>
      <c r="R40" s="101"/>
      <c r="S40" s="79"/>
      <c r="T40" s="79"/>
      <c r="U40" s="79"/>
      <c r="V40" s="79"/>
      <c r="W40" s="79"/>
      <c r="X40" s="79"/>
      <c r="Y40" s="79"/>
      <c r="Z40" s="79"/>
      <c r="AA40" s="75"/>
      <c r="AB40" s="75"/>
      <c r="AC40" s="75"/>
      <c r="AD40" s="95"/>
      <c r="AE40" s="75"/>
      <c r="AF40" s="75"/>
      <c r="AG40" s="75"/>
      <c r="AH40" s="75"/>
      <c r="AI40" s="75"/>
      <c r="AJ40" s="75"/>
      <c r="AK40" s="75"/>
      <c r="AL40" s="79"/>
      <c r="AM40" s="79"/>
      <c r="AN40" s="79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9"/>
      <c r="BI40" s="86"/>
      <c r="BJ40" s="86"/>
      <c r="BK40" s="79"/>
      <c r="BL40" s="79"/>
      <c r="BM40" s="86"/>
      <c r="BN40" s="86"/>
      <c r="BO40" s="79"/>
      <c r="BP40" s="79"/>
      <c r="BQ40" s="86"/>
      <c r="BR40" s="86"/>
      <c r="BS40" s="79"/>
      <c r="BT40" s="79"/>
      <c r="BU40" s="79"/>
      <c r="BV40" s="86"/>
      <c r="BW40" s="86"/>
      <c r="BX40" s="89"/>
      <c r="BY40" s="79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</row>
    <row r="41" spans="1:96" s="97" customFormat="1" ht="18" hidden="1" outlineLevel="1" x14ac:dyDescent="0.3">
      <c r="A41" s="262"/>
      <c r="B41" s="98">
        <v>25</v>
      </c>
      <c r="C41" s="104" t="s">
        <v>321</v>
      </c>
      <c r="D41" s="359">
        <f t="shared" si="2"/>
        <v>240000</v>
      </c>
      <c r="E41" s="104"/>
      <c r="F41" s="101"/>
      <c r="G41" s="101"/>
      <c r="H41" s="101"/>
      <c r="I41" s="101"/>
      <c r="J41" s="101"/>
      <c r="K41" s="101"/>
      <c r="L41" s="101"/>
      <c r="M41" s="101"/>
      <c r="N41" s="101"/>
      <c r="O41" s="237"/>
      <c r="P41" s="101"/>
      <c r="Q41" s="219"/>
      <c r="R41" s="101"/>
      <c r="S41" s="79"/>
      <c r="T41" s="79"/>
      <c r="U41" s="79"/>
      <c r="V41" s="79"/>
      <c r="W41" s="79"/>
      <c r="X41" s="79"/>
      <c r="Y41" s="79"/>
      <c r="Z41" s="79"/>
      <c r="AA41" s="75"/>
      <c r="AB41" s="75"/>
      <c r="AC41" s="75"/>
      <c r="AD41" s="95"/>
      <c r="AE41" s="75"/>
      <c r="AF41" s="75"/>
      <c r="AG41" s="75"/>
      <c r="AH41" s="75"/>
      <c r="AI41" s="75"/>
      <c r="AJ41" s="75"/>
      <c r="AK41" s="75"/>
      <c r="AL41" s="79"/>
      <c r="AM41" s="79"/>
      <c r="AN41" s="79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9"/>
      <c r="BI41" s="86"/>
      <c r="BJ41" s="86"/>
      <c r="BK41" s="79"/>
      <c r="BL41" s="79"/>
      <c r="BM41" s="86"/>
      <c r="BN41" s="86"/>
      <c r="BO41" s="79"/>
      <c r="BP41" s="79"/>
      <c r="BQ41" s="86"/>
      <c r="BR41" s="86"/>
      <c r="BS41" s="79"/>
      <c r="BT41" s="79"/>
      <c r="BU41" s="79"/>
      <c r="BV41" s="86"/>
      <c r="BW41" s="86"/>
      <c r="BX41" s="89"/>
      <c r="BY41" s="79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</row>
    <row r="42" spans="1:96" s="97" customFormat="1" ht="18" hidden="1" outlineLevel="1" x14ac:dyDescent="0.3">
      <c r="A42" s="262"/>
      <c r="B42" s="98">
        <v>26</v>
      </c>
      <c r="C42" s="104" t="s">
        <v>322</v>
      </c>
      <c r="D42" s="359">
        <f t="shared" si="2"/>
        <v>250000</v>
      </c>
      <c r="E42" s="105"/>
      <c r="F42" s="101"/>
      <c r="G42" s="101"/>
      <c r="H42" s="101"/>
      <c r="I42" s="101"/>
      <c r="J42" s="101"/>
      <c r="K42" s="101"/>
      <c r="L42" s="101"/>
      <c r="M42" s="101"/>
      <c r="N42" s="101"/>
      <c r="O42" s="237"/>
      <c r="P42" s="101"/>
      <c r="Q42" s="219"/>
      <c r="R42" s="101"/>
      <c r="S42" s="79"/>
      <c r="T42" s="79"/>
      <c r="U42" s="79"/>
      <c r="V42" s="79"/>
      <c r="W42" s="79"/>
      <c r="X42" s="79"/>
      <c r="Y42" s="79"/>
      <c r="Z42" s="79"/>
      <c r="AA42" s="75"/>
      <c r="AB42" s="75"/>
      <c r="AC42" s="75"/>
      <c r="AD42" s="95"/>
      <c r="AE42" s="75"/>
      <c r="AF42" s="75"/>
      <c r="AG42" s="75"/>
      <c r="AH42" s="75"/>
      <c r="AI42" s="75"/>
      <c r="AJ42" s="75"/>
      <c r="AK42" s="75"/>
      <c r="AL42" s="79"/>
      <c r="AM42" s="79"/>
      <c r="AN42" s="79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9"/>
      <c r="BI42" s="86"/>
      <c r="BJ42" s="86"/>
      <c r="BK42" s="79"/>
      <c r="BL42" s="79"/>
      <c r="BM42" s="86"/>
      <c r="BN42" s="86"/>
      <c r="BO42" s="79"/>
      <c r="BP42" s="79"/>
      <c r="BQ42" s="86"/>
      <c r="BR42" s="86"/>
      <c r="BS42" s="79"/>
      <c r="BT42" s="79"/>
      <c r="BU42" s="79"/>
      <c r="BV42" s="86"/>
      <c r="BW42" s="86"/>
      <c r="BX42" s="89"/>
      <c r="BY42" s="79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</row>
    <row r="43" spans="1:96" s="97" customFormat="1" ht="18" hidden="1" outlineLevel="1" x14ac:dyDescent="0.3">
      <c r="A43" s="262"/>
      <c r="B43" s="98">
        <v>27</v>
      </c>
      <c r="C43" s="104" t="s">
        <v>323</v>
      </c>
      <c r="D43" s="359">
        <f t="shared" si="2"/>
        <v>260000</v>
      </c>
      <c r="E43" s="105"/>
      <c r="F43" s="101"/>
      <c r="G43" s="101"/>
      <c r="H43" s="101"/>
      <c r="I43" s="101"/>
      <c r="J43" s="101"/>
      <c r="K43" s="101"/>
      <c r="L43" s="101"/>
      <c r="M43" s="101"/>
      <c r="N43" s="101"/>
      <c r="O43" s="237"/>
      <c r="P43" s="101"/>
      <c r="Q43" s="219"/>
      <c r="R43" s="101"/>
      <c r="S43" s="79"/>
      <c r="T43" s="79"/>
      <c r="U43" s="79"/>
      <c r="V43" s="79"/>
      <c r="W43" s="79"/>
      <c r="X43" s="79"/>
      <c r="Y43" s="79"/>
      <c r="Z43" s="79"/>
      <c r="AA43" s="75"/>
      <c r="AB43" s="75"/>
      <c r="AC43" s="75"/>
      <c r="AD43" s="95"/>
      <c r="AE43" s="75"/>
      <c r="AF43" s="75"/>
      <c r="AG43" s="75"/>
      <c r="AH43" s="75"/>
      <c r="AI43" s="75"/>
      <c r="AJ43" s="75"/>
      <c r="AK43" s="75"/>
      <c r="AL43" s="79"/>
      <c r="AM43" s="79"/>
      <c r="AN43" s="79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9"/>
      <c r="BI43" s="86"/>
      <c r="BJ43" s="86"/>
      <c r="BK43" s="79"/>
      <c r="BL43" s="79"/>
      <c r="BM43" s="86"/>
      <c r="BN43" s="86"/>
      <c r="BO43" s="79"/>
      <c r="BP43" s="79"/>
      <c r="BQ43" s="86"/>
      <c r="BR43" s="86"/>
      <c r="BS43" s="79"/>
      <c r="BT43" s="79"/>
      <c r="BU43" s="79"/>
      <c r="BV43" s="86"/>
      <c r="BW43" s="86"/>
      <c r="BX43" s="89"/>
      <c r="BY43" s="79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</row>
    <row r="44" spans="1:96" s="97" customFormat="1" ht="18" hidden="1" outlineLevel="1" x14ac:dyDescent="0.3">
      <c r="A44" s="262"/>
      <c r="B44" s="98">
        <v>28</v>
      </c>
      <c r="C44" s="104" t="s">
        <v>342</v>
      </c>
      <c r="D44" s="359">
        <f t="shared" si="2"/>
        <v>270000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237"/>
      <c r="P44" s="101"/>
      <c r="Q44" s="219"/>
      <c r="R44" s="101"/>
      <c r="S44" s="79"/>
      <c r="T44" s="79"/>
      <c r="U44" s="79"/>
      <c r="V44" s="79"/>
      <c r="W44" s="79"/>
      <c r="X44" s="79"/>
      <c r="Y44" s="79"/>
      <c r="Z44" s="79"/>
      <c r="AA44" s="75"/>
      <c r="AB44" s="75"/>
      <c r="AC44" s="75"/>
      <c r="AD44" s="95"/>
      <c r="AE44" s="75"/>
      <c r="AF44" s="75"/>
      <c r="AG44" s="75"/>
      <c r="AH44" s="75"/>
      <c r="AI44" s="75"/>
      <c r="AJ44" s="75"/>
      <c r="AK44" s="75"/>
      <c r="AL44" s="79"/>
      <c r="AM44" s="79"/>
      <c r="AN44" s="79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9"/>
      <c r="BI44" s="86"/>
      <c r="BJ44" s="86"/>
      <c r="BK44" s="79"/>
      <c r="BL44" s="79"/>
      <c r="BM44" s="86"/>
      <c r="BN44" s="86"/>
      <c r="BO44" s="79"/>
      <c r="BP44" s="79"/>
      <c r="BQ44" s="86"/>
      <c r="BR44" s="86"/>
      <c r="BS44" s="79"/>
      <c r="BT44" s="79"/>
      <c r="BU44" s="79"/>
      <c r="BV44" s="86"/>
      <c r="BW44" s="86"/>
      <c r="BX44" s="89"/>
      <c r="BY44" s="79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</row>
    <row r="45" spans="1:96" s="97" customFormat="1" ht="18" hidden="1" outlineLevel="1" x14ac:dyDescent="0.3">
      <c r="A45" s="262"/>
      <c r="B45" s="98">
        <v>29</v>
      </c>
      <c r="C45" s="104" t="s">
        <v>344</v>
      </c>
      <c r="D45" s="359">
        <f t="shared" si="2"/>
        <v>280000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237"/>
      <c r="P45" s="101"/>
      <c r="Q45" s="219"/>
      <c r="R45" s="101"/>
      <c r="S45" s="79"/>
      <c r="T45" s="79"/>
      <c r="U45" s="79"/>
      <c r="V45" s="79"/>
      <c r="W45" s="79"/>
      <c r="X45" s="79"/>
      <c r="Y45" s="79"/>
      <c r="Z45" s="79"/>
      <c r="AA45" s="75"/>
      <c r="AB45" s="75"/>
      <c r="AC45" s="75"/>
      <c r="AD45" s="95"/>
      <c r="AE45" s="75"/>
      <c r="AF45" s="75"/>
      <c r="AG45" s="75"/>
      <c r="AH45" s="75"/>
      <c r="AI45" s="75"/>
      <c r="AJ45" s="75"/>
      <c r="AK45" s="75"/>
      <c r="AL45" s="79"/>
      <c r="AM45" s="79"/>
      <c r="AN45" s="79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9"/>
      <c r="BI45" s="86"/>
      <c r="BJ45" s="86"/>
      <c r="BK45" s="79"/>
      <c r="BL45" s="79"/>
      <c r="BM45" s="86"/>
      <c r="BN45" s="86"/>
      <c r="BO45" s="79"/>
      <c r="BP45" s="79"/>
      <c r="BQ45" s="86"/>
      <c r="BR45" s="86"/>
      <c r="BS45" s="79"/>
      <c r="BT45" s="79"/>
      <c r="BU45" s="79"/>
      <c r="BV45" s="86"/>
      <c r="BW45" s="86"/>
      <c r="BX45" s="89"/>
      <c r="BY45" s="79"/>
      <c r="BZ45" s="262"/>
      <c r="CA45" s="262"/>
      <c r="CB45" s="262"/>
      <c r="CC45" s="262"/>
      <c r="CD45" s="262"/>
      <c r="CE45" s="262"/>
      <c r="CF45" s="262"/>
      <c r="CG45" s="262"/>
      <c r="CH45" s="262"/>
      <c r="CI45" s="262"/>
      <c r="CJ45" s="262"/>
      <c r="CK45" s="262"/>
      <c r="CL45" s="262"/>
      <c r="CM45" s="262"/>
      <c r="CN45" s="262"/>
      <c r="CO45" s="262"/>
      <c r="CP45" s="262"/>
      <c r="CQ45" s="262"/>
      <c r="CR45" s="262"/>
    </row>
    <row r="46" spans="1:96" s="97" customFormat="1" ht="18" hidden="1" outlineLevel="1" x14ac:dyDescent="0.3">
      <c r="A46" s="262"/>
      <c r="B46" s="98">
        <v>30</v>
      </c>
      <c r="C46" s="104" t="s">
        <v>300</v>
      </c>
      <c r="D46" s="359">
        <f t="shared" si="2"/>
        <v>290000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237"/>
      <c r="P46" s="101"/>
      <c r="Q46" s="219"/>
      <c r="R46" s="101"/>
      <c r="S46" s="79"/>
      <c r="T46" s="79"/>
      <c r="U46" s="79"/>
      <c r="V46" s="79"/>
      <c r="W46" s="79"/>
      <c r="X46" s="79"/>
      <c r="Y46" s="79"/>
      <c r="Z46" s="79"/>
      <c r="AA46" s="75"/>
      <c r="AB46" s="75"/>
      <c r="AC46" s="75"/>
      <c r="AD46" s="95"/>
      <c r="AE46" s="75"/>
      <c r="AF46" s="75"/>
      <c r="AG46" s="75"/>
      <c r="AH46" s="75"/>
      <c r="AI46" s="75"/>
      <c r="AJ46" s="75"/>
      <c r="AK46" s="75"/>
      <c r="AL46" s="79"/>
      <c r="AM46" s="79"/>
      <c r="AN46" s="79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9"/>
      <c r="BI46" s="86"/>
      <c r="BJ46" s="86"/>
      <c r="BK46" s="79"/>
      <c r="BL46" s="79"/>
      <c r="BM46" s="86"/>
      <c r="BN46" s="86"/>
      <c r="BO46" s="79"/>
      <c r="BP46" s="79"/>
      <c r="BQ46" s="86"/>
      <c r="BR46" s="86"/>
      <c r="BS46" s="79"/>
      <c r="BT46" s="79"/>
      <c r="BU46" s="79"/>
      <c r="BV46" s="86"/>
      <c r="BW46" s="86"/>
      <c r="BX46" s="89"/>
      <c r="BY46" s="79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</row>
    <row r="47" spans="1:96" s="97" customFormat="1" ht="18" hidden="1" outlineLevel="1" x14ac:dyDescent="0.3">
      <c r="A47" s="262"/>
      <c r="B47" s="98">
        <v>31</v>
      </c>
      <c r="C47" s="104" t="s">
        <v>349</v>
      </c>
      <c r="D47" s="359">
        <f t="shared" si="2"/>
        <v>300000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237"/>
      <c r="P47" s="101"/>
      <c r="Q47" s="219"/>
      <c r="R47" s="101"/>
      <c r="S47" s="79"/>
      <c r="T47" s="79"/>
      <c r="U47" s="79"/>
      <c r="V47" s="79"/>
      <c r="W47" s="79"/>
      <c r="X47" s="79"/>
      <c r="Y47" s="79"/>
      <c r="Z47" s="79"/>
      <c r="AA47" s="75"/>
      <c r="AB47" s="75"/>
      <c r="AC47" s="75"/>
      <c r="AD47" s="95"/>
      <c r="AE47" s="75"/>
      <c r="AF47" s="75"/>
      <c r="AG47" s="75"/>
      <c r="AH47" s="75"/>
      <c r="AI47" s="75"/>
      <c r="AJ47" s="75"/>
      <c r="AK47" s="75"/>
      <c r="AL47" s="79"/>
      <c r="AM47" s="79"/>
      <c r="AN47" s="79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9"/>
      <c r="BI47" s="86"/>
      <c r="BJ47" s="86"/>
      <c r="BK47" s="79"/>
      <c r="BL47" s="79"/>
      <c r="BM47" s="86"/>
      <c r="BN47" s="86"/>
      <c r="BO47" s="79"/>
      <c r="BP47" s="79"/>
      <c r="BQ47" s="86"/>
      <c r="BR47" s="86"/>
      <c r="BS47" s="79"/>
      <c r="BT47" s="79"/>
      <c r="BU47" s="79"/>
      <c r="BV47" s="86"/>
      <c r="BW47" s="86"/>
      <c r="BX47" s="89"/>
      <c r="BY47" s="79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62"/>
      <c r="CR47" s="262"/>
    </row>
    <row r="48" spans="1:96" s="97" customFormat="1" ht="18" hidden="1" outlineLevel="1" x14ac:dyDescent="0.3">
      <c r="A48" s="262"/>
      <c r="B48" s="173">
        <v>32</v>
      </c>
      <c r="C48" s="43" t="s">
        <v>350</v>
      </c>
      <c r="D48" s="360">
        <v>320000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237"/>
      <c r="P48" s="101"/>
      <c r="Q48" s="219"/>
      <c r="R48" s="101"/>
      <c r="S48" s="79"/>
      <c r="T48" s="79"/>
      <c r="U48" s="79"/>
      <c r="V48" s="79"/>
      <c r="W48" s="79"/>
      <c r="X48" s="79"/>
      <c r="Y48" s="79"/>
      <c r="Z48" s="79"/>
      <c r="AA48" s="75"/>
      <c r="AB48" s="75"/>
      <c r="AC48" s="75"/>
      <c r="AD48" s="95"/>
      <c r="AE48" s="75"/>
      <c r="AF48" s="75"/>
      <c r="AG48" s="75"/>
      <c r="AH48" s="75"/>
      <c r="AI48" s="75"/>
      <c r="AJ48" s="75"/>
      <c r="AK48" s="75"/>
      <c r="AL48" s="79"/>
      <c r="AM48" s="79"/>
      <c r="AN48" s="79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9"/>
      <c r="BI48" s="86"/>
      <c r="BJ48" s="86"/>
      <c r="BK48" s="79"/>
      <c r="BL48" s="79"/>
      <c r="BM48" s="86"/>
      <c r="BN48" s="86"/>
      <c r="BO48" s="79"/>
      <c r="BP48" s="79"/>
      <c r="BQ48" s="86"/>
      <c r="BR48" s="86"/>
      <c r="BS48" s="79"/>
      <c r="BT48" s="79"/>
      <c r="BU48" s="79"/>
      <c r="BV48" s="86"/>
      <c r="BW48" s="86"/>
      <c r="BX48" s="89"/>
      <c r="BY48" s="79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2"/>
      <c r="CL48" s="262"/>
      <c r="CM48" s="262"/>
      <c r="CN48" s="262"/>
      <c r="CO48" s="262"/>
      <c r="CP48" s="262"/>
      <c r="CQ48" s="262"/>
      <c r="CR48" s="262"/>
    </row>
    <row r="49" spans="1:96" s="97" customFormat="1" ht="18" hidden="1" outlineLevel="1" x14ac:dyDescent="0.3">
      <c r="A49" s="262"/>
      <c r="B49" s="173">
        <v>33</v>
      </c>
      <c r="C49" s="43" t="s">
        <v>353</v>
      </c>
      <c r="D49" s="360">
        <v>350000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237"/>
      <c r="P49" s="101"/>
      <c r="Q49" s="219"/>
      <c r="R49" s="101"/>
      <c r="S49" s="79"/>
      <c r="T49" s="79"/>
      <c r="U49" s="79"/>
      <c r="V49" s="79"/>
      <c r="W49" s="79"/>
      <c r="X49" s="79"/>
      <c r="Y49" s="79"/>
      <c r="Z49" s="79"/>
      <c r="AA49" s="75"/>
      <c r="AB49" s="75"/>
      <c r="AC49" s="75"/>
      <c r="AD49" s="95"/>
      <c r="AE49" s="75"/>
      <c r="AF49" s="75"/>
      <c r="AG49" s="75"/>
      <c r="AH49" s="75"/>
      <c r="AI49" s="75"/>
      <c r="AJ49" s="75"/>
      <c r="AK49" s="75"/>
      <c r="AL49" s="79"/>
      <c r="AM49" s="79"/>
      <c r="AN49" s="79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9"/>
      <c r="BI49" s="86"/>
      <c r="BJ49" s="86"/>
      <c r="BK49" s="79"/>
      <c r="BL49" s="79"/>
      <c r="BM49" s="86"/>
      <c r="BN49" s="86"/>
      <c r="BO49" s="79"/>
      <c r="BP49" s="79"/>
      <c r="BQ49" s="86"/>
      <c r="BR49" s="86"/>
      <c r="BS49" s="79"/>
      <c r="BT49" s="79"/>
      <c r="BU49" s="79"/>
      <c r="BV49" s="86"/>
      <c r="BW49" s="86"/>
      <c r="BX49" s="89"/>
      <c r="BY49" s="79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62"/>
      <c r="CO49" s="262"/>
      <c r="CP49" s="262"/>
      <c r="CQ49" s="262"/>
      <c r="CR49" s="262"/>
    </row>
    <row r="50" spans="1:96" s="112" customFormat="1" ht="18" collapsed="1" x14ac:dyDescent="0.25">
      <c r="A50" s="267"/>
      <c r="B50" s="232"/>
      <c r="C50" s="106" t="s">
        <v>203</v>
      </c>
      <c r="D50" s="107" t="s">
        <v>169</v>
      </c>
      <c r="E50" s="392" t="s">
        <v>281</v>
      </c>
      <c r="F50" s="392" t="s">
        <v>274</v>
      </c>
      <c r="G50" s="230" t="s">
        <v>5</v>
      </c>
      <c r="H50" s="230" t="s">
        <v>5</v>
      </c>
      <c r="I50" s="392" t="s">
        <v>274</v>
      </c>
      <c r="J50" s="230" t="s">
        <v>5</v>
      </c>
      <c r="K50" s="392" t="s">
        <v>274</v>
      </c>
      <c r="L50" s="230" t="s">
        <v>5</v>
      </c>
      <c r="M50" s="108">
        <v>45</v>
      </c>
      <c r="N50" s="109">
        <v>44.95</v>
      </c>
      <c r="O50" s="238">
        <v>5</v>
      </c>
      <c r="P50" s="110"/>
      <c r="Q50" s="218" t="s">
        <v>5</v>
      </c>
      <c r="R50" s="79"/>
      <c r="S50" s="79"/>
      <c r="T50" s="79"/>
      <c r="U50" s="79"/>
      <c r="V50" s="79"/>
      <c r="W50" s="100"/>
      <c r="X50" s="100"/>
      <c r="Y50" s="100"/>
      <c r="Z50" s="100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100"/>
      <c r="AM50" s="100"/>
      <c r="AN50" s="100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11"/>
      <c r="BY50" s="100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</row>
    <row r="51" spans="1:96" s="112" customFormat="1" ht="18" collapsed="1" x14ac:dyDescent="0.25">
      <c r="A51" s="267"/>
      <c r="B51" s="232"/>
      <c r="C51" s="106" t="s">
        <v>204</v>
      </c>
      <c r="D51" s="107" t="s">
        <v>169</v>
      </c>
      <c r="E51" s="392" t="s">
        <v>281</v>
      </c>
      <c r="F51" s="392" t="s">
        <v>274</v>
      </c>
      <c r="G51" s="392" t="s">
        <v>274</v>
      </c>
      <c r="H51" s="392" t="s">
        <v>274</v>
      </c>
      <c r="I51" s="392" t="s">
        <v>274</v>
      </c>
      <c r="J51" s="392" t="s">
        <v>274</v>
      </c>
      <c r="K51" s="230" t="s">
        <v>5</v>
      </c>
      <c r="L51" s="230" t="s">
        <v>5</v>
      </c>
      <c r="M51" s="108">
        <v>75</v>
      </c>
      <c r="N51" s="109">
        <v>74.95</v>
      </c>
      <c r="O51" s="238">
        <v>5</v>
      </c>
      <c r="P51" s="110"/>
      <c r="Q51" s="218" t="s">
        <v>5</v>
      </c>
      <c r="R51" s="79" t="s">
        <v>249</v>
      </c>
      <c r="S51" s="79"/>
      <c r="T51" s="79"/>
      <c r="U51" s="79"/>
      <c r="V51" s="79"/>
      <c r="W51" s="100"/>
      <c r="X51" s="100"/>
      <c r="Y51" s="100"/>
      <c r="Z51" s="100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100"/>
      <c r="AM51" s="100"/>
      <c r="AN51" s="100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11"/>
      <c r="BY51" s="100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7"/>
      <c r="CO51" s="267"/>
      <c r="CP51" s="267"/>
      <c r="CQ51" s="267"/>
      <c r="CR51" s="267"/>
    </row>
    <row r="52" spans="1:96" ht="18" x14ac:dyDescent="0.25">
      <c r="B52" s="232"/>
      <c r="C52" s="106" t="s">
        <v>357</v>
      </c>
      <c r="D52" s="107" t="s">
        <v>170</v>
      </c>
      <c r="E52" s="392" t="s">
        <v>281</v>
      </c>
      <c r="F52" s="392" t="s">
        <v>274</v>
      </c>
      <c r="G52" s="392" t="s">
        <v>274</v>
      </c>
      <c r="H52" s="230" t="s">
        <v>5</v>
      </c>
      <c r="I52" s="392" t="s">
        <v>274</v>
      </c>
      <c r="J52" s="230" t="s">
        <v>5</v>
      </c>
      <c r="K52" s="230" t="s">
        <v>5</v>
      </c>
      <c r="L52" s="230" t="s">
        <v>5</v>
      </c>
      <c r="M52" s="108">
        <v>60</v>
      </c>
      <c r="N52" s="113">
        <v>59.95</v>
      </c>
      <c r="O52" s="239">
        <v>5</v>
      </c>
      <c r="P52" s="114"/>
      <c r="Q52" s="218" t="s">
        <v>5</v>
      </c>
      <c r="R52" s="79"/>
      <c r="S52" s="79"/>
      <c r="T52" s="79"/>
      <c r="U52" s="79"/>
      <c r="V52" s="79"/>
      <c r="AA52" s="75"/>
      <c r="AB52" s="75"/>
      <c r="AC52" s="75"/>
      <c r="AD52" s="75"/>
      <c r="AF52" s="75"/>
      <c r="AG52" s="75"/>
      <c r="AH52" s="75"/>
      <c r="AI52" s="75"/>
      <c r="AJ52" s="75"/>
      <c r="AL52" s="100"/>
      <c r="BI52" s="47"/>
      <c r="BJ52" s="47"/>
      <c r="BM52" s="47"/>
      <c r="BN52" s="47"/>
      <c r="BQ52" s="47"/>
      <c r="BR52" s="47"/>
      <c r="BV52" s="47"/>
      <c r="BW52" s="47"/>
    </row>
    <row r="53" spans="1:96" ht="18" x14ac:dyDescent="0.25">
      <c r="B53" s="232"/>
      <c r="C53" s="106" t="s">
        <v>205</v>
      </c>
      <c r="D53" s="107" t="s">
        <v>170</v>
      </c>
      <c r="E53" s="392" t="s">
        <v>281</v>
      </c>
      <c r="F53" s="392" t="s">
        <v>274</v>
      </c>
      <c r="G53" s="392" t="s">
        <v>274</v>
      </c>
      <c r="H53" s="392" t="s">
        <v>274</v>
      </c>
      <c r="I53" s="392" t="s">
        <v>274</v>
      </c>
      <c r="J53" s="230" t="s">
        <v>5</v>
      </c>
      <c r="K53" s="230" t="s">
        <v>5</v>
      </c>
      <c r="L53" s="230" t="s">
        <v>5</v>
      </c>
      <c r="M53" s="108">
        <v>15</v>
      </c>
      <c r="N53" s="113">
        <v>14.95</v>
      </c>
      <c r="O53" s="239">
        <v>5</v>
      </c>
      <c r="P53" s="114"/>
      <c r="Q53" s="218" t="s">
        <v>5</v>
      </c>
      <c r="R53" s="79"/>
      <c r="S53" s="79"/>
      <c r="T53" s="79"/>
      <c r="U53" s="79"/>
      <c r="V53" s="79"/>
      <c r="AA53" s="75"/>
      <c r="AB53" s="75"/>
      <c r="AC53" s="75"/>
      <c r="AD53" s="75"/>
      <c r="AF53" s="75"/>
      <c r="AG53" s="75"/>
      <c r="AH53" s="75"/>
      <c r="AI53" s="75"/>
      <c r="AJ53" s="75"/>
      <c r="AL53" s="100"/>
      <c r="BI53" s="47"/>
      <c r="BJ53" s="47"/>
      <c r="BM53" s="47"/>
      <c r="BN53" s="47"/>
      <c r="BQ53" s="47"/>
      <c r="BR53" s="47"/>
      <c r="BV53" s="47"/>
      <c r="BW53" s="47"/>
    </row>
    <row r="54" spans="1:96" s="112" customFormat="1" ht="18" x14ac:dyDescent="0.25">
      <c r="A54" s="267"/>
      <c r="B54" s="232"/>
      <c r="C54" s="106" t="s">
        <v>327</v>
      </c>
      <c r="D54" s="107" t="s">
        <v>170</v>
      </c>
      <c r="E54" s="392" t="s">
        <v>281</v>
      </c>
      <c r="F54" s="392" t="s">
        <v>274</v>
      </c>
      <c r="G54" s="392" t="s">
        <v>274</v>
      </c>
      <c r="H54" s="392" t="s">
        <v>274</v>
      </c>
      <c r="I54" s="392" t="s">
        <v>274</v>
      </c>
      <c r="J54" s="392" t="s">
        <v>274</v>
      </c>
      <c r="K54" s="392" t="s">
        <v>274</v>
      </c>
      <c r="L54" s="230" t="s">
        <v>5</v>
      </c>
      <c r="M54" s="108">
        <v>15</v>
      </c>
      <c r="N54" s="113">
        <v>14.95</v>
      </c>
      <c r="O54" s="238">
        <v>5</v>
      </c>
      <c r="P54" s="110"/>
      <c r="Q54" s="218" t="s">
        <v>5</v>
      </c>
      <c r="R54" s="79"/>
      <c r="S54" s="79"/>
      <c r="T54" s="79"/>
      <c r="U54" s="79"/>
      <c r="V54" s="79"/>
      <c r="W54" s="102"/>
      <c r="X54" s="100"/>
      <c r="Y54" s="100"/>
      <c r="Z54" s="79"/>
      <c r="AA54" s="75"/>
      <c r="AB54" s="115"/>
      <c r="AC54" s="75"/>
      <c r="AD54" s="75"/>
      <c r="AE54" s="75"/>
      <c r="AF54" s="75"/>
      <c r="AG54" s="75"/>
      <c r="AH54" s="75"/>
      <c r="AI54" s="75"/>
      <c r="AJ54" s="75"/>
      <c r="AK54" s="75"/>
      <c r="AL54" s="100"/>
      <c r="AM54" s="100"/>
      <c r="AN54" s="100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11"/>
      <c r="BY54" s="100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267"/>
      <c r="CL54" s="267"/>
      <c r="CM54" s="267"/>
      <c r="CN54" s="267"/>
      <c r="CO54" s="267"/>
      <c r="CP54" s="267"/>
      <c r="CQ54" s="267"/>
      <c r="CR54" s="267"/>
    </row>
    <row r="55" spans="1:96" ht="18" x14ac:dyDescent="0.25">
      <c r="B55" s="232"/>
      <c r="C55" s="106" t="s">
        <v>206</v>
      </c>
      <c r="D55" s="107" t="s">
        <v>169</v>
      </c>
      <c r="E55" s="392" t="s">
        <v>281</v>
      </c>
      <c r="F55" s="392" t="s">
        <v>274</v>
      </c>
      <c r="G55" s="392" t="s">
        <v>274</v>
      </c>
      <c r="H55" s="392" t="s">
        <v>274</v>
      </c>
      <c r="I55" s="392" t="s">
        <v>274</v>
      </c>
      <c r="J55" s="230" t="s">
        <v>5</v>
      </c>
      <c r="K55" s="230" t="s">
        <v>5</v>
      </c>
      <c r="L55" s="230" t="s">
        <v>5</v>
      </c>
      <c r="M55" s="108">
        <v>18</v>
      </c>
      <c r="N55" s="113">
        <v>17.95</v>
      </c>
      <c r="O55" s="239">
        <v>5</v>
      </c>
      <c r="P55" s="114"/>
      <c r="Q55" s="218" t="s">
        <v>5</v>
      </c>
      <c r="R55" s="79"/>
      <c r="S55" s="79"/>
      <c r="T55" s="79"/>
      <c r="U55" s="79"/>
      <c r="V55" s="79"/>
      <c r="AA55" s="75"/>
      <c r="AB55" s="75"/>
      <c r="AC55" s="75"/>
      <c r="AD55" s="75"/>
      <c r="AF55" s="75"/>
      <c r="AG55" s="75"/>
      <c r="AH55" s="75"/>
      <c r="AI55" s="75"/>
      <c r="AJ55" s="75"/>
      <c r="AL55" s="100"/>
      <c r="BI55" s="47"/>
      <c r="BJ55" s="47"/>
      <c r="BM55" s="47"/>
      <c r="BN55" s="47"/>
      <c r="BQ55" s="47"/>
      <c r="BR55" s="47"/>
      <c r="BV55" s="47"/>
      <c r="BW55" s="47"/>
    </row>
    <row r="56" spans="1:96" s="112" customFormat="1" ht="18" x14ac:dyDescent="0.25">
      <c r="A56" s="267"/>
      <c r="B56" s="232"/>
      <c r="C56" s="106" t="s">
        <v>243</v>
      </c>
      <c r="D56" s="107" t="s">
        <v>170</v>
      </c>
      <c r="E56" s="392" t="s">
        <v>281</v>
      </c>
      <c r="F56" s="392" t="s">
        <v>274</v>
      </c>
      <c r="G56" s="392" t="s">
        <v>274</v>
      </c>
      <c r="H56" s="392" t="s">
        <v>274</v>
      </c>
      <c r="I56" s="392" t="s">
        <v>274</v>
      </c>
      <c r="J56" s="230" t="s">
        <v>5</v>
      </c>
      <c r="K56" s="230" t="s">
        <v>5</v>
      </c>
      <c r="L56" s="230" t="s">
        <v>5</v>
      </c>
      <c r="M56" s="108">
        <v>18</v>
      </c>
      <c r="N56" s="113">
        <v>17.95</v>
      </c>
      <c r="O56" s="238">
        <v>5</v>
      </c>
      <c r="P56" s="110"/>
      <c r="Q56" s="218" t="s">
        <v>5</v>
      </c>
      <c r="R56" s="79"/>
      <c r="S56" s="79"/>
      <c r="T56" s="79"/>
      <c r="U56" s="79"/>
      <c r="V56" s="79"/>
      <c r="W56" s="102"/>
      <c r="X56" s="100"/>
      <c r="Y56" s="100"/>
      <c r="Z56" s="79"/>
      <c r="AA56" s="75"/>
      <c r="AB56" s="115"/>
      <c r="AC56" s="75"/>
      <c r="AD56" s="75"/>
      <c r="AE56" s="75"/>
      <c r="AF56" s="75"/>
      <c r="AG56" s="75"/>
      <c r="AH56" s="75"/>
      <c r="AI56" s="75"/>
      <c r="AJ56" s="75"/>
      <c r="AK56" s="75"/>
      <c r="AL56" s="100"/>
      <c r="AM56" s="100"/>
      <c r="AN56" s="100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11"/>
      <c r="BY56" s="100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267"/>
      <c r="CL56" s="267"/>
      <c r="CM56" s="267"/>
      <c r="CN56" s="267"/>
      <c r="CO56" s="267"/>
      <c r="CP56" s="267"/>
      <c r="CQ56" s="267"/>
      <c r="CR56" s="267"/>
    </row>
    <row r="57" spans="1:96" s="112" customFormat="1" ht="18" x14ac:dyDescent="0.25">
      <c r="A57" s="267"/>
      <c r="B57" s="232"/>
      <c r="C57" s="106" t="s">
        <v>208</v>
      </c>
      <c r="D57" s="107" t="s">
        <v>169</v>
      </c>
      <c r="E57" s="392" t="s">
        <v>281</v>
      </c>
      <c r="F57" s="392" t="s">
        <v>274</v>
      </c>
      <c r="G57" s="392" t="s">
        <v>274</v>
      </c>
      <c r="H57" s="392" t="s">
        <v>274</v>
      </c>
      <c r="I57" s="392" t="s">
        <v>274</v>
      </c>
      <c r="J57" s="230" t="s">
        <v>5</v>
      </c>
      <c r="K57" s="230" t="s">
        <v>5</v>
      </c>
      <c r="L57" s="230" t="s">
        <v>5</v>
      </c>
      <c r="M57" s="108">
        <v>30</v>
      </c>
      <c r="N57" s="113">
        <v>29.95</v>
      </c>
      <c r="O57" s="238">
        <v>5</v>
      </c>
      <c r="P57" s="110"/>
      <c r="Q57" s="218" t="s">
        <v>5</v>
      </c>
      <c r="R57" s="79"/>
      <c r="S57" s="79"/>
      <c r="T57" s="79"/>
      <c r="U57" s="79"/>
      <c r="V57" s="79"/>
      <c r="W57" s="102"/>
      <c r="X57" s="100"/>
      <c r="Y57" s="100"/>
      <c r="Z57" s="79"/>
      <c r="AA57" s="75"/>
      <c r="AB57" s="115"/>
      <c r="AC57" s="75"/>
      <c r="AD57" s="75"/>
      <c r="AE57" s="75"/>
      <c r="AF57" s="75"/>
      <c r="AG57" s="75"/>
      <c r="AH57" s="75"/>
      <c r="AI57" s="75"/>
      <c r="AJ57" s="75"/>
      <c r="AK57" s="75"/>
      <c r="AL57" s="100"/>
      <c r="AM57" s="100"/>
      <c r="AN57" s="100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11"/>
      <c r="BY57" s="100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267"/>
      <c r="CL57" s="267"/>
      <c r="CM57" s="267"/>
      <c r="CN57" s="267"/>
      <c r="CO57" s="267"/>
      <c r="CP57" s="267"/>
      <c r="CQ57" s="267"/>
      <c r="CR57" s="267"/>
    </row>
    <row r="58" spans="1:96" s="112" customFormat="1" ht="18" x14ac:dyDescent="0.25">
      <c r="A58" s="267"/>
      <c r="B58" s="232"/>
      <c r="C58" s="106" t="s">
        <v>293</v>
      </c>
      <c r="D58" s="107" t="s">
        <v>175</v>
      </c>
      <c r="E58" s="392" t="s">
        <v>281</v>
      </c>
      <c r="F58" s="392" t="s">
        <v>274</v>
      </c>
      <c r="G58" s="392" t="s">
        <v>274</v>
      </c>
      <c r="H58" s="392" t="s">
        <v>274</v>
      </c>
      <c r="I58" s="392" t="s">
        <v>274</v>
      </c>
      <c r="J58" s="230" t="s">
        <v>5</v>
      </c>
      <c r="K58" s="230" t="s">
        <v>5</v>
      </c>
      <c r="L58" s="230" t="s">
        <v>5</v>
      </c>
      <c r="M58" s="108">
        <v>15</v>
      </c>
      <c r="N58" s="113">
        <v>14.95</v>
      </c>
      <c r="O58" s="239">
        <v>2</v>
      </c>
      <c r="P58" s="114"/>
      <c r="Q58" s="218" t="s">
        <v>5</v>
      </c>
      <c r="R58" s="115"/>
      <c r="S58" s="79"/>
      <c r="T58" s="79"/>
      <c r="U58" s="79"/>
      <c r="V58" s="79"/>
      <c r="W58" s="100"/>
      <c r="X58" s="100"/>
      <c r="Y58" s="100"/>
      <c r="Z58" s="79"/>
      <c r="AA58" s="75"/>
      <c r="AB58" s="89"/>
      <c r="AC58" s="75"/>
      <c r="AD58" s="75"/>
      <c r="AE58" s="75"/>
      <c r="AF58" s="75"/>
      <c r="AG58" s="75"/>
      <c r="AH58" s="75"/>
      <c r="AI58" s="75"/>
      <c r="AJ58" s="75"/>
      <c r="AK58" s="75"/>
      <c r="AL58" s="100"/>
      <c r="AM58" s="100"/>
      <c r="AN58" s="100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11"/>
      <c r="BY58" s="100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267"/>
      <c r="CL58" s="267"/>
      <c r="CM58" s="267"/>
      <c r="CN58" s="267"/>
      <c r="CO58" s="267"/>
      <c r="CP58" s="267"/>
      <c r="CQ58" s="267"/>
      <c r="CR58" s="267"/>
    </row>
    <row r="59" spans="1:96" ht="18" x14ac:dyDescent="0.25">
      <c r="B59" s="232"/>
      <c r="C59" s="106" t="s">
        <v>209</v>
      </c>
      <c r="D59" s="107" t="s">
        <v>172</v>
      </c>
      <c r="E59" s="392" t="s">
        <v>281</v>
      </c>
      <c r="F59" s="392" t="s">
        <v>274</v>
      </c>
      <c r="G59" s="392" t="s">
        <v>274</v>
      </c>
      <c r="H59" s="392" t="s">
        <v>274</v>
      </c>
      <c r="I59" s="392" t="s">
        <v>274</v>
      </c>
      <c r="J59" s="230" t="s">
        <v>5</v>
      </c>
      <c r="K59" s="230" t="s">
        <v>5</v>
      </c>
      <c r="L59" s="230" t="s">
        <v>5</v>
      </c>
      <c r="M59" s="108">
        <v>20</v>
      </c>
      <c r="N59" s="113">
        <v>19.95</v>
      </c>
      <c r="O59" s="239">
        <v>2</v>
      </c>
      <c r="P59" s="114"/>
      <c r="Q59" s="218" t="s">
        <v>5</v>
      </c>
      <c r="R59" s="115"/>
      <c r="S59" s="79"/>
      <c r="T59" s="79"/>
      <c r="U59" s="79"/>
      <c r="V59" s="79"/>
      <c r="Z59" s="118"/>
      <c r="AA59" s="119"/>
      <c r="AB59" s="89"/>
      <c r="AC59" s="67"/>
      <c r="AD59" s="67"/>
      <c r="AE59" s="75"/>
      <c r="AF59" s="75"/>
      <c r="AG59" s="75"/>
      <c r="AH59" s="75"/>
      <c r="AI59" s="75"/>
      <c r="AJ59" s="75"/>
      <c r="AK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I59" s="47"/>
      <c r="BJ59" s="47"/>
      <c r="BM59" s="47"/>
      <c r="BN59" s="47"/>
      <c r="BQ59" s="47"/>
      <c r="BR59" s="47"/>
      <c r="BV59" s="47"/>
      <c r="BW59" s="47"/>
    </row>
    <row r="60" spans="1:96" s="112" customFormat="1" ht="18" x14ac:dyDescent="0.25">
      <c r="A60" s="267"/>
      <c r="B60" s="232"/>
      <c r="C60" s="106" t="s">
        <v>210</v>
      </c>
      <c r="D60" s="107" t="s">
        <v>170</v>
      </c>
      <c r="E60" s="392" t="s">
        <v>281</v>
      </c>
      <c r="F60" s="392" t="s">
        <v>274</v>
      </c>
      <c r="G60" s="392" t="s">
        <v>274</v>
      </c>
      <c r="H60" s="392" t="s">
        <v>274</v>
      </c>
      <c r="I60" s="392" t="s">
        <v>274</v>
      </c>
      <c r="J60" s="392" t="s">
        <v>274</v>
      </c>
      <c r="K60" s="392" t="s">
        <v>274</v>
      </c>
      <c r="L60" s="230" t="s">
        <v>5</v>
      </c>
      <c r="M60" s="108">
        <v>18</v>
      </c>
      <c r="N60" s="113">
        <v>17.95</v>
      </c>
      <c r="O60" s="238">
        <v>5</v>
      </c>
      <c r="P60" s="110"/>
      <c r="Q60" s="218" t="s">
        <v>5</v>
      </c>
      <c r="R60" s="79" t="s">
        <v>249</v>
      </c>
      <c r="S60" s="79"/>
      <c r="T60" s="79"/>
      <c r="U60" s="79"/>
      <c r="V60" s="79"/>
      <c r="W60" s="100"/>
      <c r="X60" s="100"/>
      <c r="Y60" s="100"/>
      <c r="Z60" s="120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100"/>
      <c r="AM60" s="100"/>
      <c r="AN60" s="100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11"/>
      <c r="BY60" s="100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67"/>
    </row>
    <row r="61" spans="1:96" ht="18" x14ac:dyDescent="0.25">
      <c r="B61" s="232"/>
      <c r="C61" s="106" t="s">
        <v>211</v>
      </c>
      <c r="D61" s="107" t="s">
        <v>176</v>
      </c>
      <c r="E61" s="392" t="s">
        <v>281</v>
      </c>
      <c r="F61" s="392" t="s">
        <v>274</v>
      </c>
      <c r="G61" s="392" t="s">
        <v>274</v>
      </c>
      <c r="H61" s="392" t="s">
        <v>274</v>
      </c>
      <c r="I61" s="392" t="s">
        <v>274</v>
      </c>
      <c r="J61" s="392" t="s">
        <v>274</v>
      </c>
      <c r="K61" s="392" t="s">
        <v>274</v>
      </c>
      <c r="L61" s="230" t="s">
        <v>5</v>
      </c>
      <c r="M61" s="108">
        <v>13</v>
      </c>
      <c r="N61" s="113">
        <v>12.95</v>
      </c>
      <c r="O61" s="239">
        <v>2</v>
      </c>
      <c r="P61" s="114"/>
      <c r="Q61" s="218" t="s">
        <v>5</v>
      </c>
      <c r="R61" s="115"/>
      <c r="S61" s="79"/>
      <c r="T61" s="79"/>
      <c r="U61" s="79"/>
      <c r="V61" s="79"/>
      <c r="Y61" s="121"/>
      <c r="Z61" s="122"/>
      <c r="AA61" s="75"/>
      <c r="AB61" s="123"/>
      <c r="AC61" s="75"/>
      <c r="AD61" s="75"/>
      <c r="AE61" s="75"/>
      <c r="AF61" s="75"/>
      <c r="AG61" s="75"/>
      <c r="AH61" s="75"/>
      <c r="AI61" s="75"/>
      <c r="AJ61" s="75"/>
      <c r="AK61" s="75"/>
      <c r="AL61" s="47"/>
      <c r="AM61" s="47"/>
      <c r="AN61" s="47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I61" s="47"/>
      <c r="BJ61" s="47"/>
      <c r="BM61" s="47"/>
      <c r="BN61" s="47"/>
      <c r="BQ61" s="47"/>
      <c r="BR61" s="47"/>
      <c r="BV61" s="47"/>
      <c r="BW61" s="47"/>
    </row>
    <row r="62" spans="1:96" ht="18" x14ac:dyDescent="0.25">
      <c r="B62" s="232"/>
      <c r="C62" s="106" t="s">
        <v>212</v>
      </c>
      <c r="D62" s="107" t="s">
        <v>177</v>
      </c>
      <c r="E62" s="392" t="s">
        <v>281</v>
      </c>
      <c r="F62" s="392" t="s">
        <v>274</v>
      </c>
      <c r="G62" s="392" t="s">
        <v>274</v>
      </c>
      <c r="H62" s="392" t="s">
        <v>274</v>
      </c>
      <c r="I62" s="392" t="s">
        <v>274</v>
      </c>
      <c r="J62" s="392" t="s">
        <v>274</v>
      </c>
      <c r="K62" s="392" t="s">
        <v>274</v>
      </c>
      <c r="L62" s="230" t="s">
        <v>5</v>
      </c>
      <c r="M62" s="108">
        <v>15</v>
      </c>
      <c r="N62" s="113">
        <v>14.95</v>
      </c>
      <c r="O62" s="239">
        <v>2</v>
      </c>
      <c r="P62" s="114"/>
      <c r="Q62" s="218" t="s">
        <v>5</v>
      </c>
      <c r="R62" s="115"/>
      <c r="S62" s="79"/>
      <c r="T62" s="79"/>
      <c r="U62" s="79"/>
      <c r="V62" s="79"/>
      <c r="Z62" s="118"/>
      <c r="AA62" s="119"/>
      <c r="AB62" s="89"/>
      <c r="AC62" s="75"/>
      <c r="AD62" s="75"/>
      <c r="AE62" s="75"/>
      <c r="AF62" s="75"/>
      <c r="AG62" s="75"/>
      <c r="AH62" s="75"/>
      <c r="AI62" s="75"/>
      <c r="AJ62" s="75"/>
      <c r="AK62" s="75"/>
      <c r="AL62" s="47"/>
      <c r="AM62" s="47"/>
      <c r="AN62" s="47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I62" s="47"/>
      <c r="BJ62" s="47"/>
      <c r="BM62" s="47"/>
      <c r="BN62" s="47"/>
      <c r="BQ62" s="47"/>
      <c r="BR62" s="47"/>
      <c r="BV62" s="47"/>
      <c r="BW62" s="47"/>
    </row>
    <row r="63" spans="1:96" s="97" customFormat="1" ht="18" x14ac:dyDescent="0.25">
      <c r="A63" s="262"/>
      <c r="B63" s="232"/>
      <c r="C63" s="106" t="s">
        <v>213</v>
      </c>
      <c r="D63" s="107" t="s">
        <v>169</v>
      </c>
      <c r="E63" s="392" t="s">
        <v>281</v>
      </c>
      <c r="F63" s="392" t="s">
        <v>274</v>
      </c>
      <c r="G63" s="392" t="s">
        <v>274</v>
      </c>
      <c r="H63" s="392" t="s">
        <v>274</v>
      </c>
      <c r="I63" s="392" t="s">
        <v>274</v>
      </c>
      <c r="J63" s="392" t="s">
        <v>274</v>
      </c>
      <c r="K63" s="392" t="s">
        <v>274</v>
      </c>
      <c r="L63" s="230" t="s">
        <v>5</v>
      </c>
      <c r="M63" s="108">
        <v>18</v>
      </c>
      <c r="N63" s="113">
        <v>17.95</v>
      </c>
      <c r="O63" s="239">
        <v>5</v>
      </c>
      <c r="P63" s="114"/>
      <c r="Q63" s="218" t="s">
        <v>5</v>
      </c>
      <c r="R63" s="115"/>
      <c r="S63" s="79"/>
      <c r="T63" s="79"/>
      <c r="U63" s="79"/>
      <c r="V63" s="79"/>
      <c r="W63" s="103"/>
      <c r="X63" s="79"/>
      <c r="Y63" s="79"/>
      <c r="Z63" s="118"/>
      <c r="AA63" s="119"/>
      <c r="AB63" s="89"/>
      <c r="AC63" s="75"/>
      <c r="AD63" s="75"/>
      <c r="AE63" s="75"/>
      <c r="AF63" s="75"/>
      <c r="AG63" s="75"/>
      <c r="AH63" s="75"/>
      <c r="AI63" s="75"/>
      <c r="AJ63" s="75"/>
      <c r="AK63" s="75"/>
      <c r="AL63" s="79"/>
      <c r="AM63" s="79"/>
      <c r="AN63" s="79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89"/>
      <c r="BY63" s="79"/>
      <c r="BZ63" s="262"/>
      <c r="CA63" s="262"/>
      <c r="CB63" s="262"/>
      <c r="CC63" s="262"/>
      <c r="CD63" s="262"/>
      <c r="CE63" s="262"/>
      <c r="CF63" s="262"/>
      <c r="CG63" s="262"/>
      <c r="CH63" s="262"/>
      <c r="CI63" s="262"/>
      <c r="CJ63" s="262"/>
      <c r="CK63" s="262"/>
      <c r="CL63" s="262"/>
      <c r="CM63" s="262"/>
      <c r="CN63" s="262"/>
      <c r="CO63" s="262"/>
      <c r="CP63" s="262"/>
      <c r="CQ63" s="262"/>
      <c r="CR63" s="262"/>
    </row>
    <row r="64" spans="1:96" s="97" customFormat="1" ht="18" x14ac:dyDescent="0.25">
      <c r="A64" s="262"/>
      <c r="B64" s="232"/>
      <c r="C64" s="106" t="s">
        <v>214</v>
      </c>
      <c r="D64" s="107" t="s">
        <v>169</v>
      </c>
      <c r="E64" s="392" t="s">
        <v>281</v>
      </c>
      <c r="F64" s="392" t="s">
        <v>274</v>
      </c>
      <c r="G64" s="392" t="s">
        <v>274</v>
      </c>
      <c r="H64" s="392" t="s">
        <v>274</v>
      </c>
      <c r="I64" s="392" t="s">
        <v>274</v>
      </c>
      <c r="J64" s="392" t="s">
        <v>274</v>
      </c>
      <c r="K64" s="392" t="s">
        <v>274</v>
      </c>
      <c r="L64" s="230" t="s">
        <v>5</v>
      </c>
      <c r="M64" s="108">
        <v>18</v>
      </c>
      <c r="N64" s="113">
        <v>17.95</v>
      </c>
      <c r="O64" s="239">
        <v>5</v>
      </c>
      <c r="P64" s="114"/>
      <c r="Q64" s="218" t="s">
        <v>5</v>
      </c>
      <c r="R64" s="115"/>
      <c r="S64" s="79"/>
      <c r="T64" s="79"/>
      <c r="U64" s="79"/>
      <c r="V64" s="79"/>
      <c r="W64" s="103"/>
      <c r="X64" s="79"/>
      <c r="Y64" s="79"/>
      <c r="Z64" s="118"/>
      <c r="AA64" s="119"/>
      <c r="AB64" s="89"/>
      <c r="AC64" s="75"/>
      <c r="AD64" s="75"/>
      <c r="AE64" s="75"/>
      <c r="AF64" s="75"/>
      <c r="AG64" s="75"/>
      <c r="AH64" s="75"/>
      <c r="AI64" s="75"/>
      <c r="AJ64" s="75"/>
      <c r="AK64" s="75"/>
      <c r="AL64" s="79"/>
      <c r="AM64" s="79"/>
      <c r="AN64" s="79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89"/>
      <c r="BY64" s="79"/>
      <c r="BZ64" s="262"/>
      <c r="CA64" s="262"/>
      <c r="CB64" s="262"/>
      <c r="CC64" s="262"/>
      <c r="CD64" s="262"/>
      <c r="CE64" s="262"/>
      <c r="CF64" s="262"/>
      <c r="CG64" s="262"/>
      <c r="CH64" s="262"/>
      <c r="CI64" s="262"/>
      <c r="CJ64" s="262"/>
      <c r="CK64" s="262"/>
      <c r="CL64" s="262"/>
      <c r="CM64" s="262"/>
      <c r="CN64" s="262"/>
      <c r="CO64" s="262"/>
      <c r="CP64" s="262"/>
      <c r="CQ64" s="262"/>
      <c r="CR64" s="262"/>
    </row>
    <row r="65" spans="1:96" s="97" customFormat="1" ht="18" x14ac:dyDescent="0.25">
      <c r="A65" s="262"/>
      <c r="B65" s="232"/>
      <c r="C65" s="106" t="s">
        <v>294</v>
      </c>
      <c r="D65" s="107" t="s">
        <v>218</v>
      </c>
      <c r="E65" s="392" t="s">
        <v>281</v>
      </c>
      <c r="F65" s="392" t="s">
        <v>274</v>
      </c>
      <c r="G65" s="392" t="s">
        <v>274</v>
      </c>
      <c r="H65" s="392" t="s">
        <v>274</v>
      </c>
      <c r="I65" s="392" t="s">
        <v>274</v>
      </c>
      <c r="J65" s="392" t="s">
        <v>274</v>
      </c>
      <c r="K65" s="392" t="s">
        <v>274</v>
      </c>
      <c r="L65" s="230" t="s">
        <v>5</v>
      </c>
      <c r="M65" s="108">
        <v>18</v>
      </c>
      <c r="N65" s="113">
        <v>17.95</v>
      </c>
      <c r="O65" s="239">
        <v>2</v>
      </c>
      <c r="P65" s="114"/>
      <c r="Q65" s="218" t="s">
        <v>5</v>
      </c>
      <c r="R65" s="79" t="s">
        <v>249</v>
      </c>
      <c r="S65" s="79"/>
      <c r="T65" s="79"/>
      <c r="U65" s="79"/>
      <c r="V65" s="79"/>
      <c r="W65" s="103"/>
      <c r="X65" s="79"/>
      <c r="Y65" s="79"/>
      <c r="Z65" s="118"/>
      <c r="AA65" s="119"/>
      <c r="AB65" s="89"/>
      <c r="AC65" s="75"/>
      <c r="AD65" s="75"/>
      <c r="AE65" s="75"/>
      <c r="AF65" s="75"/>
      <c r="AG65" s="75"/>
      <c r="AH65" s="75"/>
      <c r="AI65" s="75"/>
      <c r="AJ65" s="75"/>
      <c r="AK65" s="75"/>
      <c r="AL65" s="79"/>
      <c r="AM65" s="79"/>
      <c r="AN65" s="79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89"/>
      <c r="BY65" s="79"/>
      <c r="BZ65" s="262"/>
      <c r="CA65" s="262"/>
      <c r="CB65" s="262"/>
      <c r="CC65" s="262"/>
      <c r="CD65" s="262"/>
      <c r="CE65" s="262"/>
      <c r="CF65" s="262"/>
      <c r="CG65" s="262"/>
      <c r="CH65" s="262"/>
      <c r="CI65" s="262"/>
      <c r="CJ65" s="262"/>
      <c r="CK65" s="262"/>
      <c r="CL65" s="262"/>
      <c r="CM65" s="262"/>
      <c r="CN65" s="262"/>
      <c r="CO65" s="262"/>
      <c r="CP65" s="262"/>
      <c r="CQ65" s="262"/>
      <c r="CR65" s="262"/>
    </row>
    <row r="66" spans="1:96" s="97" customFormat="1" ht="18" x14ac:dyDescent="0.25">
      <c r="A66" s="262"/>
      <c r="B66" s="232"/>
      <c r="C66" s="106" t="s">
        <v>332</v>
      </c>
      <c r="D66" s="107" t="s">
        <v>277</v>
      </c>
      <c r="E66" s="392" t="s">
        <v>281</v>
      </c>
      <c r="F66" s="392" t="s">
        <v>274</v>
      </c>
      <c r="G66" s="392" t="s">
        <v>274</v>
      </c>
      <c r="H66" s="392" t="s">
        <v>274</v>
      </c>
      <c r="I66" s="392" t="s">
        <v>274</v>
      </c>
      <c r="J66" s="392" t="s">
        <v>274</v>
      </c>
      <c r="K66" s="392" t="s">
        <v>274</v>
      </c>
      <c r="L66" s="392" t="s">
        <v>274</v>
      </c>
      <c r="M66" s="108">
        <v>35</v>
      </c>
      <c r="N66" s="113">
        <v>34.950000000000003</v>
      </c>
      <c r="O66" s="239">
        <v>2</v>
      </c>
      <c r="P66" s="114"/>
      <c r="Q66" s="218" t="s">
        <v>5</v>
      </c>
      <c r="R66" s="79" t="s">
        <v>249</v>
      </c>
      <c r="S66" s="79"/>
      <c r="T66" s="79"/>
      <c r="U66" s="79"/>
      <c r="V66" s="79"/>
      <c r="W66" s="103"/>
      <c r="X66" s="79"/>
      <c r="Y66" s="79"/>
      <c r="Z66" s="118"/>
      <c r="AA66" s="119"/>
      <c r="AB66" s="89"/>
      <c r="AC66" s="75"/>
      <c r="AD66" s="75"/>
      <c r="AE66" s="75"/>
      <c r="AF66" s="75"/>
      <c r="AG66" s="75"/>
      <c r="AH66" s="75"/>
      <c r="AI66" s="75"/>
      <c r="AJ66" s="75"/>
      <c r="AK66" s="75"/>
      <c r="AL66" s="79"/>
      <c r="AM66" s="79"/>
      <c r="AN66" s="79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89"/>
      <c r="BY66" s="79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M66" s="262"/>
      <c r="CN66" s="262"/>
      <c r="CO66" s="262"/>
      <c r="CP66" s="262"/>
      <c r="CQ66" s="262"/>
      <c r="CR66" s="262"/>
    </row>
    <row r="67" spans="1:96" ht="18" x14ac:dyDescent="0.25">
      <c r="B67" s="232"/>
      <c r="C67" s="106" t="s">
        <v>311</v>
      </c>
      <c r="D67" s="107" t="s">
        <v>170</v>
      </c>
      <c r="E67" s="392" t="s">
        <v>281</v>
      </c>
      <c r="F67" s="392" t="s">
        <v>274</v>
      </c>
      <c r="G67" s="392" t="s">
        <v>274</v>
      </c>
      <c r="H67" s="392" t="s">
        <v>274</v>
      </c>
      <c r="I67" s="392" t="s">
        <v>274</v>
      </c>
      <c r="J67" s="392" t="s">
        <v>274</v>
      </c>
      <c r="K67" s="392" t="s">
        <v>274</v>
      </c>
      <c r="L67" s="392" t="s">
        <v>274</v>
      </c>
      <c r="M67" s="117">
        <v>65</v>
      </c>
      <c r="N67" s="113">
        <f>SUM(N68:N72)</f>
        <v>70.75</v>
      </c>
      <c r="O67" s="239">
        <v>25</v>
      </c>
      <c r="P67" s="114" t="s">
        <v>246</v>
      </c>
      <c r="Q67" s="218" t="s">
        <v>5</v>
      </c>
      <c r="R67" s="79" t="s">
        <v>249</v>
      </c>
      <c r="S67" s="79"/>
      <c r="T67" s="79"/>
      <c r="U67" s="79"/>
      <c r="V67" s="79"/>
      <c r="AA67" s="75"/>
      <c r="AB67" s="89"/>
      <c r="AC67" s="67"/>
      <c r="AD67" s="67"/>
      <c r="AE67" s="75"/>
      <c r="AF67" s="75"/>
      <c r="AG67" s="75"/>
      <c r="AH67" s="75"/>
      <c r="AI67" s="75"/>
      <c r="AJ67" s="75"/>
      <c r="AK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I67" s="47"/>
      <c r="BJ67" s="47"/>
      <c r="BM67" s="47"/>
      <c r="BN67" s="47"/>
      <c r="BQ67" s="47"/>
      <c r="BR67" s="47"/>
      <c r="BV67" s="47"/>
      <c r="BW67" s="47"/>
    </row>
    <row r="68" spans="1:96" ht="18" x14ac:dyDescent="0.25">
      <c r="B68" s="403" t="str">
        <f>IF($B$67="x","x","")</f>
        <v/>
      </c>
      <c r="C68" s="106" t="s">
        <v>306</v>
      </c>
      <c r="D68" s="107" t="s">
        <v>170</v>
      </c>
      <c r="E68" s="392" t="s">
        <v>281</v>
      </c>
      <c r="F68" s="392" t="str">
        <f>IF($B10="x","enthalten","")</f>
        <v/>
      </c>
      <c r="G68" s="392" t="s">
        <v>274</v>
      </c>
      <c r="H68" s="392" t="s">
        <v>274</v>
      </c>
      <c r="I68" s="392" t="s">
        <v>274</v>
      </c>
      <c r="J68" s="392" t="s">
        <v>274</v>
      </c>
      <c r="K68" s="392" t="s">
        <v>274</v>
      </c>
      <c r="L68" s="392" t="s">
        <v>274</v>
      </c>
      <c r="M68" s="108">
        <v>13</v>
      </c>
      <c r="N68" s="113">
        <v>12.95</v>
      </c>
      <c r="O68" s="239">
        <v>5</v>
      </c>
      <c r="P68" s="114"/>
      <c r="Q68" s="218" t="s">
        <v>5</v>
      </c>
      <c r="R68" s="79" t="s">
        <v>249</v>
      </c>
      <c r="S68" s="79"/>
      <c r="T68" s="79"/>
      <c r="U68" s="79"/>
      <c r="V68" s="79"/>
      <c r="AA68" s="75"/>
      <c r="AB68" s="89"/>
      <c r="AC68" s="67"/>
      <c r="AD68" s="67"/>
      <c r="AE68" s="75"/>
      <c r="AF68" s="75"/>
      <c r="AG68" s="75"/>
      <c r="AH68" s="75"/>
      <c r="AI68" s="75"/>
      <c r="AJ68" s="75"/>
      <c r="AK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I68" s="47"/>
      <c r="BJ68" s="47"/>
      <c r="BM68" s="47"/>
      <c r="BN68" s="47"/>
      <c r="BQ68" s="47"/>
      <c r="BR68" s="47"/>
      <c r="BV68" s="47"/>
      <c r="BW68" s="47"/>
    </row>
    <row r="69" spans="1:96" ht="18" x14ac:dyDescent="0.25">
      <c r="B69" s="403" t="str">
        <f t="shared" ref="B69:B72" si="3">IF($B$67="x","x","")</f>
        <v/>
      </c>
      <c r="C69" s="106" t="s">
        <v>307</v>
      </c>
      <c r="D69" s="107" t="s">
        <v>170</v>
      </c>
      <c r="E69" s="392" t="s">
        <v>281</v>
      </c>
      <c r="F69" s="392" t="s">
        <v>274</v>
      </c>
      <c r="G69" s="392" t="s">
        <v>274</v>
      </c>
      <c r="H69" s="392" t="s">
        <v>274</v>
      </c>
      <c r="I69" s="392" t="s">
        <v>274</v>
      </c>
      <c r="J69" s="392" t="s">
        <v>274</v>
      </c>
      <c r="K69" s="392" t="s">
        <v>274</v>
      </c>
      <c r="L69" s="392" t="s">
        <v>274</v>
      </c>
      <c r="M69" s="108">
        <v>13</v>
      </c>
      <c r="N69" s="113">
        <v>12.95</v>
      </c>
      <c r="O69" s="239">
        <v>5</v>
      </c>
      <c r="P69" s="114"/>
      <c r="Q69" s="218" t="s">
        <v>5</v>
      </c>
      <c r="R69" s="79" t="s">
        <v>249</v>
      </c>
      <c r="S69" s="79"/>
      <c r="T69" s="79"/>
      <c r="U69" s="79"/>
      <c r="V69" s="79"/>
      <c r="AA69" s="75"/>
      <c r="AB69" s="89"/>
      <c r="AC69" s="67"/>
      <c r="AD69" s="67"/>
      <c r="AE69" s="75"/>
      <c r="AF69" s="75"/>
      <c r="AG69" s="75"/>
      <c r="AH69" s="75"/>
      <c r="AI69" s="75"/>
      <c r="AJ69" s="75"/>
      <c r="AK69" s="67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I69" s="47"/>
      <c r="BJ69" s="47"/>
      <c r="BM69" s="47"/>
      <c r="BN69" s="47"/>
      <c r="BQ69" s="47"/>
      <c r="BR69" s="47"/>
      <c r="BV69" s="47"/>
      <c r="BW69" s="47"/>
    </row>
    <row r="70" spans="1:96" ht="18" x14ac:dyDescent="0.25">
      <c r="B70" s="403" t="str">
        <f t="shared" si="3"/>
        <v/>
      </c>
      <c r="C70" s="106" t="s">
        <v>308</v>
      </c>
      <c r="D70" s="107" t="s">
        <v>194</v>
      </c>
      <c r="E70" s="392" t="s">
        <v>281</v>
      </c>
      <c r="F70" s="392" t="s">
        <v>274</v>
      </c>
      <c r="G70" s="392" t="s">
        <v>274</v>
      </c>
      <c r="H70" s="392" t="s">
        <v>274</v>
      </c>
      <c r="I70" s="392" t="s">
        <v>274</v>
      </c>
      <c r="J70" s="392" t="s">
        <v>274</v>
      </c>
      <c r="K70" s="392" t="s">
        <v>274</v>
      </c>
      <c r="L70" s="392" t="s">
        <v>274</v>
      </c>
      <c r="M70" s="108">
        <v>15</v>
      </c>
      <c r="N70" s="113">
        <v>14.95</v>
      </c>
      <c r="O70" s="239">
        <v>5</v>
      </c>
      <c r="P70" s="114"/>
      <c r="Q70" s="218" t="s">
        <v>5</v>
      </c>
      <c r="R70" s="79" t="s">
        <v>249</v>
      </c>
      <c r="S70" s="79"/>
      <c r="T70" s="79"/>
      <c r="U70" s="79"/>
      <c r="V70" s="79"/>
      <c r="Z70" s="118"/>
      <c r="AA70" s="119"/>
      <c r="AB70" s="89"/>
      <c r="AC70" s="67"/>
      <c r="AD70" s="67"/>
      <c r="AE70" s="75"/>
      <c r="AF70" s="75"/>
      <c r="AG70" s="75"/>
      <c r="AH70" s="75"/>
      <c r="AI70" s="75"/>
      <c r="AJ70" s="75"/>
      <c r="AK70" s="67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I70" s="47"/>
      <c r="BJ70" s="47"/>
      <c r="BM70" s="47"/>
      <c r="BN70" s="47"/>
      <c r="BQ70" s="47"/>
      <c r="BR70" s="47"/>
      <c r="BV70" s="47"/>
      <c r="BW70" s="47"/>
    </row>
    <row r="71" spans="1:96" ht="18" x14ac:dyDescent="0.25">
      <c r="B71" s="403" t="str">
        <f t="shared" si="3"/>
        <v/>
      </c>
      <c r="C71" s="106" t="s">
        <v>309</v>
      </c>
      <c r="D71" s="107" t="s">
        <v>194</v>
      </c>
      <c r="E71" s="392" t="s">
        <v>281</v>
      </c>
      <c r="F71" s="392" t="s">
        <v>274</v>
      </c>
      <c r="G71" s="392" t="s">
        <v>274</v>
      </c>
      <c r="H71" s="392" t="s">
        <v>274</v>
      </c>
      <c r="I71" s="392" t="s">
        <v>274</v>
      </c>
      <c r="J71" s="392" t="s">
        <v>274</v>
      </c>
      <c r="K71" s="392" t="s">
        <v>274</v>
      </c>
      <c r="L71" s="392" t="s">
        <v>274</v>
      </c>
      <c r="M71" s="108">
        <v>15</v>
      </c>
      <c r="N71" s="113">
        <v>14.95</v>
      </c>
      <c r="O71" s="239">
        <v>5</v>
      </c>
      <c r="P71" s="114"/>
      <c r="Q71" s="218" t="s">
        <v>5</v>
      </c>
      <c r="R71" s="79" t="s">
        <v>249</v>
      </c>
      <c r="S71" s="79"/>
      <c r="T71" s="79"/>
      <c r="U71" s="79"/>
      <c r="V71" s="79"/>
      <c r="Z71" s="118"/>
      <c r="AA71" s="119"/>
      <c r="AB71" s="89"/>
      <c r="AC71" s="67"/>
      <c r="AD71" s="67"/>
      <c r="AE71" s="75"/>
      <c r="AF71" s="75"/>
      <c r="AG71" s="75"/>
      <c r="AH71" s="75"/>
      <c r="AI71" s="75"/>
      <c r="AJ71" s="75"/>
      <c r="AK71" s="67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I71" s="47"/>
      <c r="BJ71" s="47"/>
      <c r="BM71" s="47"/>
      <c r="BN71" s="47"/>
      <c r="BQ71" s="47"/>
      <c r="BR71" s="47"/>
      <c r="BV71" s="47"/>
      <c r="BW71" s="47"/>
    </row>
    <row r="72" spans="1:96" ht="18" x14ac:dyDescent="0.25">
      <c r="B72" s="403" t="str">
        <f t="shared" si="3"/>
        <v/>
      </c>
      <c r="C72" s="106" t="s">
        <v>310</v>
      </c>
      <c r="D72" s="107" t="s">
        <v>194</v>
      </c>
      <c r="E72" s="392" t="s">
        <v>281</v>
      </c>
      <c r="F72" s="392" t="s">
        <v>274</v>
      </c>
      <c r="G72" s="392" t="s">
        <v>274</v>
      </c>
      <c r="H72" s="392" t="s">
        <v>274</v>
      </c>
      <c r="I72" s="392" t="s">
        <v>274</v>
      </c>
      <c r="J72" s="392" t="s">
        <v>274</v>
      </c>
      <c r="K72" s="392" t="s">
        <v>274</v>
      </c>
      <c r="L72" s="392" t="s">
        <v>274</v>
      </c>
      <c r="M72" s="108">
        <v>15</v>
      </c>
      <c r="N72" s="113">
        <v>14.95</v>
      </c>
      <c r="O72" s="239">
        <v>5</v>
      </c>
      <c r="P72" s="114"/>
      <c r="Q72" s="218" t="s">
        <v>5</v>
      </c>
      <c r="R72" s="79" t="s">
        <v>249</v>
      </c>
      <c r="S72" s="79"/>
      <c r="T72" s="79"/>
      <c r="U72" s="79"/>
      <c r="V72" s="79"/>
      <c r="Z72" s="118"/>
      <c r="AA72" s="119"/>
      <c r="AB72" s="89"/>
      <c r="AC72" s="67"/>
      <c r="AD72" s="67"/>
      <c r="AE72" s="75"/>
      <c r="AF72" s="75"/>
      <c r="AG72" s="75"/>
      <c r="AH72" s="75"/>
      <c r="AI72" s="75"/>
      <c r="AJ72" s="75"/>
      <c r="AK72" s="67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I72" s="47"/>
      <c r="BJ72" s="47"/>
      <c r="BM72" s="47"/>
      <c r="BN72" s="47"/>
      <c r="BQ72" s="47"/>
      <c r="BR72" s="47"/>
      <c r="BV72" s="47"/>
      <c r="BW72" s="47"/>
    </row>
    <row r="73" spans="1:96" ht="18" x14ac:dyDescent="0.25">
      <c r="B73" s="232"/>
      <c r="C73" s="106" t="s">
        <v>278</v>
      </c>
      <c r="D73" s="107" t="s">
        <v>277</v>
      </c>
      <c r="E73" s="392" t="s">
        <v>281</v>
      </c>
      <c r="F73" s="230" t="s">
        <v>5</v>
      </c>
      <c r="G73" s="392" t="s">
        <v>274</v>
      </c>
      <c r="H73" s="392" t="s">
        <v>274</v>
      </c>
      <c r="I73" s="392" t="s">
        <v>274</v>
      </c>
      <c r="J73" s="392" t="s">
        <v>274</v>
      </c>
      <c r="K73" s="392" t="s">
        <v>274</v>
      </c>
      <c r="L73" s="392" t="s">
        <v>274</v>
      </c>
      <c r="M73" s="117">
        <v>39.950000000000003</v>
      </c>
      <c r="N73" s="368">
        <f>39.95+4.99</f>
        <v>44.940000000000005</v>
      </c>
      <c r="O73" s="240" t="s">
        <v>6</v>
      </c>
      <c r="P73" s="114" t="s">
        <v>246</v>
      </c>
      <c r="Q73" s="218" t="s">
        <v>5</v>
      </c>
      <c r="R73" s="79" t="s">
        <v>249</v>
      </c>
      <c r="S73" s="79"/>
      <c r="T73" s="79"/>
      <c r="U73" s="79"/>
      <c r="V73" s="79"/>
      <c r="Z73" s="118"/>
      <c r="AA73" s="119"/>
      <c r="AB73" s="89"/>
      <c r="AC73" s="67"/>
      <c r="AD73" s="67"/>
      <c r="AE73" s="75"/>
      <c r="AF73" s="75"/>
      <c r="AG73" s="75"/>
      <c r="AH73" s="75"/>
      <c r="AI73" s="75"/>
      <c r="AJ73" s="75"/>
      <c r="AK73" s="67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I73" s="47"/>
      <c r="BJ73" s="47"/>
      <c r="BM73" s="47"/>
      <c r="BN73" s="47"/>
      <c r="BQ73" s="47"/>
      <c r="BR73" s="47"/>
      <c r="BV73" s="47"/>
      <c r="BW73" s="47"/>
    </row>
    <row r="74" spans="1:96" ht="18" x14ac:dyDescent="0.25">
      <c r="B74" s="232"/>
      <c r="C74" s="106" t="s">
        <v>247</v>
      </c>
      <c r="D74" s="107" t="s">
        <v>248</v>
      </c>
      <c r="E74" s="392" t="s">
        <v>281</v>
      </c>
      <c r="F74" s="392" t="s">
        <v>274</v>
      </c>
      <c r="G74" s="392" t="s">
        <v>274</v>
      </c>
      <c r="H74" s="392" t="s">
        <v>274</v>
      </c>
      <c r="I74" s="392" t="s">
        <v>274</v>
      </c>
      <c r="J74" s="392" t="s">
        <v>274</v>
      </c>
      <c r="K74" s="392" t="s">
        <v>274</v>
      </c>
      <c r="L74" s="392" t="s">
        <v>274</v>
      </c>
      <c r="M74" s="108">
        <v>20</v>
      </c>
      <c r="N74" s="368">
        <v>19.95</v>
      </c>
      <c r="O74" s="240" t="s">
        <v>6</v>
      </c>
      <c r="P74" s="114"/>
      <c r="Q74" s="218" t="s">
        <v>5</v>
      </c>
      <c r="R74" s="79" t="s">
        <v>249</v>
      </c>
      <c r="S74" s="79"/>
      <c r="T74" s="79"/>
      <c r="U74" s="79"/>
      <c r="V74" s="79"/>
      <c r="Z74" s="118"/>
      <c r="AA74" s="119"/>
      <c r="AB74" s="89"/>
      <c r="AC74" s="67"/>
      <c r="AD74" s="67"/>
      <c r="AE74" s="75"/>
      <c r="AF74" s="75"/>
      <c r="AG74" s="75"/>
      <c r="AH74" s="75"/>
      <c r="AI74" s="75"/>
      <c r="AJ74" s="75"/>
      <c r="AK74" s="67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I74" s="47"/>
      <c r="BJ74" s="47"/>
      <c r="BM74" s="47"/>
      <c r="BN74" s="47"/>
      <c r="BQ74" s="47"/>
      <c r="BR74" s="47"/>
      <c r="BV74" s="47"/>
      <c r="BW74" s="47"/>
    </row>
    <row r="75" spans="1:96" s="112" customFormat="1" ht="18" x14ac:dyDescent="0.3">
      <c r="A75" s="267"/>
      <c r="B75" s="232"/>
      <c r="C75" s="124" t="s">
        <v>215</v>
      </c>
      <c r="D75" s="107" t="s">
        <v>173</v>
      </c>
      <c r="E75" s="392" t="s">
        <v>281</v>
      </c>
      <c r="F75" s="230" t="s">
        <v>5</v>
      </c>
      <c r="G75" s="230" t="s">
        <v>5</v>
      </c>
      <c r="H75" s="230" t="s">
        <v>5</v>
      </c>
      <c r="I75" s="392" t="s">
        <v>281</v>
      </c>
      <c r="J75" s="230" t="s">
        <v>5</v>
      </c>
      <c r="K75" s="230" t="s">
        <v>5</v>
      </c>
      <c r="L75" s="230" t="s">
        <v>5</v>
      </c>
      <c r="M75" s="125" t="s">
        <v>6</v>
      </c>
      <c r="N75" s="369">
        <v>9.9499999999999993</v>
      </c>
      <c r="O75" s="240" t="s">
        <v>6</v>
      </c>
      <c r="P75" s="372" t="s">
        <v>280</v>
      </c>
      <c r="Q75" s="218" t="s">
        <v>5</v>
      </c>
      <c r="R75" s="79">
        <v>9.9499999999999993</v>
      </c>
      <c r="S75" s="79"/>
      <c r="T75" s="79"/>
      <c r="U75" s="79"/>
      <c r="V75" s="79"/>
      <c r="W75" s="100"/>
      <c r="X75" s="100"/>
      <c r="Y75" s="100"/>
      <c r="Z75" s="100"/>
      <c r="AA75" s="75"/>
      <c r="AB75" s="75"/>
      <c r="AC75" s="126"/>
      <c r="AD75" s="126"/>
      <c r="AE75" s="75"/>
      <c r="AF75" s="75"/>
      <c r="AG75" s="48"/>
      <c r="AH75" s="126"/>
      <c r="AI75" s="126"/>
      <c r="AJ75" s="126"/>
      <c r="AK75" s="126"/>
      <c r="AL75" s="126"/>
      <c r="AM75" s="126"/>
      <c r="AN75" s="126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100"/>
      <c r="BI75" s="127"/>
      <c r="BJ75" s="127"/>
      <c r="BK75" s="100"/>
      <c r="BL75" s="100"/>
      <c r="BM75" s="127"/>
      <c r="BN75" s="127"/>
      <c r="BO75" s="100"/>
      <c r="BP75" s="100"/>
      <c r="BQ75" s="127"/>
      <c r="BR75" s="127"/>
      <c r="BS75" s="100"/>
      <c r="BT75" s="100"/>
      <c r="BU75" s="100"/>
      <c r="BV75" s="127"/>
      <c r="BW75" s="127"/>
      <c r="BX75" s="111"/>
      <c r="BY75" s="100"/>
      <c r="BZ75" s="267"/>
      <c r="CA75" s="267"/>
      <c r="CB75" s="267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7"/>
      <c r="CO75" s="267"/>
      <c r="CP75" s="267"/>
      <c r="CQ75" s="267"/>
      <c r="CR75" s="267"/>
    </row>
    <row r="76" spans="1:96" s="134" customFormat="1" ht="18" x14ac:dyDescent="0.3">
      <c r="A76" s="268"/>
      <c r="B76" s="233"/>
      <c r="C76" s="128" t="s">
        <v>253</v>
      </c>
      <c r="D76" s="129" t="s">
        <v>178</v>
      </c>
      <c r="E76" s="392" t="s">
        <v>281</v>
      </c>
      <c r="F76" s="230" t="s">
        <v>5</v>
      </c>
      <c r="G76" s="230" t="s">
        <v>5</v>
      </c>
      <c r="H76" s="230" t="s">
        <v>5</v>
      </c>
      <c r="I76" s="392" t="s">
        <v>274</v>
      </c>
      <c r="J76" s="230" t="s">
        <v>5</v>
      </c>
      <c r="K76" s="230" t="s">
        <v>5</v>
      </c>
      <c r="L76" s="230" t="s">
        <v>5</v>
      </c>
      <c r="M76" s="125" t="s">
        <v>6</v>
      </c>
      <c r="N76" s="130" t="s">
        <v>6</v>
      </c>
      <c r="O76" s="240" t="s">
        <v>6</v>
      </c>
      <c r="P76" s="131"/>
      <c r="Q76" s="220" t="s">
        <v>5</v>
      </c>
      <c r="R76" s="132">
        <f t="shared" ref="R76:R83" si="4">AB76</f>
        <v>0</v>
      </c>
      <c r="S76" s="79"/>
      <c r="T76" s="79"/>
      <c r="U76" s="79"/>
      <c r="V76" s="79"/>
      <c r="W76" s="48"/>
      <c r="X76" s="48"/>
      <c r="Y76" s="48"/>
      <c r="Z76" s="48"/>
      <c r="AA76" s="75"/>
      <c r="AB76" s="89"/>
      <c r="AC76" s="72"/>
      <c r="AD76" s="72"/>
      <c r="AE76" s="75"/>
      <c r="AF76" s="75"/>
      <c r="AG76" s="48"/>
      <c r="AH76" s="72"/>
      <c r="AI76" s="72"/>
      <c r="AJ76" s="72"/>
      <c r="AK76" s="72"/>
      <c r="AL76" s="72"/>
      <c r="AM76" s="72"/>
      <c r="AN76" s="72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133"/>
      <c r="BY76" s="48"/>
      <c r="BZ76" s="268"/>
      <c r="CA76" s="268"/>
      <c r="CB76" s="268"/>
      <c r="CC76" s="268"/>
      <c r="CD76" s="268"/>
      <c r="CE76" s="268"/>
      <c r="CF76" s="268"/>
      <c r="CG76" s="268"/>
      <c r="CH76" s="268"/>
      <c r="CI76" s="268"/>
      <c r="CJ76" s="268"/>
      <c r="CK76" s="268"/>
      <c r="CL76" s="268"/>
      <c r="CM76" s="268"/>
      <c r="CN76" s="268"/>
      <c r="CO76" s="268"/>
      <c r="CP76" s="268"/>
      <c r="CQ76" s="268"/>
      <c r="CR76" s="268"/>
    </row>
    <row r="77" spans="1:96" s="134" customFormat="1" ht="18" x14ac:dyDescent="0.3">
      <c r="A77" s="268"/>
      <c r="B77" s="233"/>
      <c r="C77" s="128" t="s">
        <v>255</v>
      </c>
      <c r="D77" s="129" t="s">
        <v>178</v>
      </c>
      <c r="E77" s="392" t="s">
        <v>281</v>
      </c>
      <c r="F77" s="230" t="s">
        <v>5</v>
      </c>
      <c r="G77" s="230" t="s">
        <v>5</v>
      </c>
      <c r="H77" s="230" t="s">
        <v>5</v>
      </c>
      <c r="I77" s="392" t="s">
        <v>274</v>
      </c>
      <c r="J77" s="230" t="s">
        <v>5</v>
      </c>
      <c r="K77" s="230" t="s">
        <v>5</v>
      </c>
      <c r="L77" s="230" t="s">
        <v>5</v>
      </c>
      <c r="M77" s="125" t="s">
        <v>6</v>
      </c>
      <c r="N77" s="130" t="s">
        <v>6</v>
      </c>
      <c r="O77" s="240" t="s">
        <v>6</v>
      </c>
      <c r="P77" s="131"/>
      <c r="Q77" s="220" t="s">
        <v>5</v>
      </c>
      <c r="R77" s="132">
        <f t="shared" si="4"/>
        <v>0</v>
      </c>
      <c r="S77" s="79"/>
      <c r="T77" s="79"/>
      <c r="U77" s="79"/>
      <c r="V77" s="79"/>
      <c r="W77" s="48"/>
      <c r="X77" s="48"/>
      <c r="Y77" s="48"/>
      <c r="Z77" s="48"/>
      <c r="AA77" s="75"/>
      <c r="AB77" s="89"/>
      <c r="AC77" s="72"/>
      <c r="AD77" s="72"/>
      <c r="AE77" s="75"/>
      <c r="AF77" s="75"/>
      <c r="AG77" s="48"/>
      <c r="AH77" s="72"/>
      <c r="AI77" s="72"/>
      <c r="AJ77" s="72"/>
      <c r="AK77" s="72"/>
      <c r="AL77" s="72"/>
      <c r="AM77" s="72"/>
      <c r="AN77" s="72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133"/>
      <c r="BY77" s="4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</row>
    <row r="78" spans="1:96" s="134" customFormat="1" ht="18" hidden="1" outlineLevel="1" x14ac:dyDescent="0.3">
      <c r="A78" s="268"/>
      <c r="B78" s="233"/>
      <c r="C78" s="128"/>
      <c r="D78" s="129" t="s">
        <v>178</v>
      </c>
      <c r="E78" s="392" t="s">
        <v>281</v>
      </c>
      <c r="F78" s="230" t="s">
        <v>5</v>
      </c>
      <c r="G78" s="230" t="s">
        <v>5</v>
      </c>
      <c r="H78" s="230" t="s">
        <v>5</v>
      </c>
      <c r="I78" s="392" t="s">
        <v>274</v>
      </c>
      <c r="J78" s="230" t="s">
        <v>5</v>
      </c>
      <c r="K78" s="230" t="s">
        <v>5</v>
      </c>
      <c r="L78" s="230" t="s">
        <v>5</v>
      </c>
      <c r="M78" s="125" t="s">
        <v>6</v>
      </c>
      <c r="N78" s="130" t="s">
        <v>6</v>
      </c>
      <c r="O78" s="240" t="s">
        <v>6</v>
      </c>
      <c r="P78" s="131"/>
      <c r="Q78" s="220" t="s">
        <v>5</v>
      </c>
      <c r="R78" s="132">
        <f t="shared" si="4"/>
        <v>0</v>
      </c>
      <c r="S78" s="79"/>
      <c r="T78" s="79"/>
      <c r="U78" s="79"/>
      <c r="V78" s="79"/>
      <c r="W78" s="48"/>
      <c r="X78" s="48"/>
      <c r="Y78" s="48"/>
      <c r="Z78" s="48"/>
      <c r="AA78" s="75"/>
      <c r="AB78" s="89"/>
      <c r="AC78" s="72"/>
      <c r="AD78" s="72"/>
      <c r="AE78" s="75"/>
      <c r="AF78" s="75"/>
      <c r="AG78" s="48"/>
      <c r="AH78" s="72"/>
      <c r="AI78" s="72"/>
      <c r="AJ78" s="72"/>
      <c r="AK78" s="72"/>
      <c r="AL78" s="72"/>
      <c r="AM78" s="72"/>
      <c r="AN78" s="72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133"/>
      <c r="BY78" s="48"/>
      <c r="BZ78" s="268"/>
      <c r="CA78" s="268"/>
      <c r="CB78" s="268"/>
      <c r="CC78" s="268"/>
      <c r="CD78" s="268"/>
      <c r="CE78" s="268"/>
      <c r="CF78" s="268"/>
      <c r="CG78" s="268"/>
      <c r="CH78" s="268"/>
      <c r="CI78" s="268"/>
      <c r="CJ78" s="268"/>
      <c r="CK78" s="268"/>
      <c r="CL78" s="268"/>
      <c r="CM78" s="268"/>
      <c r="CN78" s="268"/>
      <c r="CO78" s="268"/>
      <c r="CP78" s="268"/>
      <c r="CQ78" s="268"/>
      <c r="CR78" s="268"/>
    </row>
    <row r="79" spans="1:96" s="134" customFormat="1" ht="18" hidden="1" outlineLevel="1" x14ac:dyDescent="0.3">
      <c r="A79" s="268"/>
      <c r="B79" s="233"/>
      <c r="C79" s="128"/>
      <c r="D79" s="129" t="s">
        <v>178</v>
      </c>
      <c r="E79" s="392" t="s">
        <v>281</v>
      </c>
      <c r="F79" s="230" t="s">
        <v>5</v>
      </c>
      <c r="G79" s="230" t="s">
        <v>5</v>
      </c>
      <c r="H79" s="230" t="s">
        <v>5</v>
      </c>
      <c r="I79" s="392" t="s">
        <v>274</v>
      </c>
      <c r="J79" s="230" t="s">
        <v>5</v>
      </c>
      <c r="K79" s="230" t="s">
        <v>5</v>
      </c>
      <c r="L79" s="230" t="s">
        <v>5</v>
      </c>
      <c r="M79" s="125" t="s">
        <v>6</v>
      </c>
      <c r="N79" s="130" t="s">
        <v>6</v>
      </c>
      <c r="O79" s="240" t="s">
        <v>6</v>
      </c>
      <c r="P79" s="131"/>
      <c r="Q79" s="220" t="s">
        <v>5</v>
      </c>
      <c r="R79" s="132">
        <f t="shared" si="4"/>
        <v>0</v>
      </c>
      <c r="S79" s="79"/>
      <c r="T79" s="79"/>
      <c r="U79" s="79"/>
      <c r="V79" s="79"/>
      <c r="W79" s="48"/>
      <c r="X79" s="48"/>
      <c r="Y79" s="48"/>
      <c r="Z79" s="48"/>
      <c r="AA79" s="75"/>
      <c r="AB79" s="89"/>
      <c r="AC79" s="72"/>
      <c r="AD79" s="72"/>
      <c r="AE79" s="75"/>
      <c r="AF79" s="75"/>
      <c r="AG79" s="48"/>
      <c r="AH79" s="72"/>
      <c r="AI79" s="72"/>
      <c r="AJ79" s="72"/>
      <c r="AK79" s="72"/>
      <c r="AL79" s="72"/>
      <c r="AM79" s="72"/>
      <c r="AN79" s="72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133"/>
      <c r="BY79" s="4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</row>
    <row r="80" spans="1:96" s="134" customFormat="1" ht="18" hidden="1" outlineLevel="1" x14ac:dyDescent="0.3">
      <c r="A80" s="268"/>
      <c r="B80" s="233"/>
      <c r="C80" s="128"/>
      <c r="D80" s="129" t="s">
        <v>178</v>
      </c>
      <c r="E80" s="392" t="s">
        <v>281</v>
      </c>
      <c r="F80" s="230" t="s">
        <v>5</v>
      </c>
      <c r="G80" s="230" t="s">
        <v>5</v>
      </c>
      <c r="H80" s="230" t="s">
        <v>5</v>
      </c>
      <c r="I80" s="392" t="s">
        <v>274</v>
      </c>
      <c r="J80" s="230" t="s">
        <v>5</v>
      </c>
      <c r="K80" s="230" t="s">
        <v>5</v>
      </c>
      <c r="L80" s="230" t="s">
        <v>5</v>
      </c>
      <c r="M80" s="125" t="s">
        <v>6</v>
      </c>
      <c r="N80" s="130" t="s">
        <v>6</v>
      </c>
      <c r="O80" s="240" t="s">
        <v>6</v>
      </c>
      <c r="P80" s="131"/>
      <c r="Q80" s="220" t="s">
        <v>5</v>
      </c>
      <c r="R80" s="132">
        <f t="shared" ref="R80" si="5">AB80</f>
        <v>0</v>
      </c>
      <c r="S80" s="79"/>
      <c r="T80" s="79"/>
      <c r="U80" s="79"/>
      <c r="V80" s="79"/>
      <c r="W80" s="48"/>
      <c r="X80" s="48"/>
      <c r="Y80" s="48"/>
      <c r="Z80" s="48"/>
      <c r="AA80" s="75"/>
      <c r="AB80" s="89"/>
      <c r="AC80" s="72"/>
      <c r="AD80" s="72"/>
      <c r="AE80" s="75"/>
      <c r="AF80" s="75"/>
      <c r="AG80" s="48"/>
      <c r="AH80" s="72"/>
      <c r="AI80" s="72"/>
      <c r="AJ80" s="72"/>
      <c r="AK80" s="72"/>
      <c r="AL80" s="72"/>
      <c r="AM80" s="72"/>
      <c r="AN80" s="72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133"/>
      <c r="BY80" s="48"/>
      <c r="BZ80" s="268"/>
      <c r="CA80" s="268"/>
      <c r="CB80" s="268"/>
      <c r="CC80" s="268"/>
      <c r="CD80" s="268"/>
      <c r="CE80" s="268"/>
      <c r="CF80" s="268"/>
      <c r="CG80" s="268"/>
      <c r="CH80" s="268"/>
      <c r="CI80" s="268"/>
      <c r="CJ80" s="268"/>
      <c r="CK80" s="268"/>
      <c r="CL80" s="268"/>
      <c r="CM80" s="268"/>
      <c r="CN80" s="268"/>
      <c r="CO80" s="268"/>
      <c r="CP80" s="268"/>
      <c r="CQ80" s="268"/>
      <c r="CR80" s="268"/>
    </row>
    <row r="81" spans="1:96" s="134" customFormat="1" ht="18" collapsed="1" x14ac:dyDescent="0.3">
      <c r="A81" s="268"/>
      <c r="B81" s="233"/>
      <c r="C81" s="128" t="s">
        <v>257</v>
      </c>
      <c r="D81" s="129" t="s">
        <v>179</v>
      </c>
      <c r="E81" s="392" t="s">
        <v>281</v>
      </c>
      <c r="F81" s="230" t="s">
        <v>5</v>
      </c>
      <c r="G81" s="230" t="s">
        <v>5</v>
      </c>
      <c r="H81" s="230" t="s">
        <v>5</v>
      </c>
      <c r="I81" s="392" t="s">
        <v>274</v>
      </c>
      <c r="J81" s="230" t="s">
        <v>5</v>
      </c>
      <c r="K81" s="230" t="s">
        <v>5</v>
      </c>
      <c r="L81" s="230" t="s">
        <v>5</v>
      </c>
      <c r="M81" s="125" t="s">
        <v>6</v>
      </c>
      <c r="N81" s="130" t="s">
        <v>6</v>
      </c>
      <c r="O81" s="240" t="s">
        <v>6</v>
      </c>
      <c r="P81" s="131"/>
      <c r="Q81" s="220" t="s">
        <v>5</v>
      </c>
      <c r="R81" s="132">
        <f t="shared" si="4"/>
        <v>0</v>
      </c>
      <c r="S81" s="79"/>
      <c r="T81" s="79"/>
      <c r="U81" s="79"/>
      <c r="V81" s="79"/>
      <c r="W81" s="48"/>
      <c r="X81" s="48"/>
      <c r="Y81" s="48"/>
      <c r="Z81" s="48"/>
      <c r="AA81" s="75"/>
      <c r="AB81" s="89"/>
      <c r="AC81" s="72"/>
      <c r="AD81" s="72"/>
      <c r="AE81" s="75"/>
      <c r="AF81" s="75"/>
      <c r="AG81" s="48"/>
      <c r="AH81" s="72"/>
      <c r="AI81" s="72"/>
      <c r="AJ81" s="72"/>
      <c r="AK81" s="72"/>
      <c r="AL81" s="72"/>
      <c r="AM81" s="72"/>
      <c r="AN81" s="72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133"/>
      <c r="BY81" s="48"/>
      <c r="BZ81" s="268"/>
      <c r="CA81" s="268"/>
      <c r="CB81" s="268"/>
      <c r="CC81" s="268"/>
      <c r="CD81" s="268"/>
      <c r="CE81" s="268"/>
      <c r="CF81" s="268"/>
      <c r="CG81" s="268"/>
      <c r="CH81" s="268"/>
      <c r="CI81" s="268"/>
      <c r="CJ81" s="268"/>
      <c r="CK81" s="268"/>
      <c r="CL81" s="268"/>
      <c r="CM81" s="268"/>
      <c r="CN81" s="268"/>
      <c r="CO81" s="268"/>
      <c r="CP81" s="268"/>
      <c r="CQ81" s="268"/>
      <c r="CR81" s="268"/>
    </row>
    <row r="82" spans="1:96" s="134" customFormat="1" ht="18" x14ac:dyDescent="0.3">
      <c r="A82" s="268"/>
      <c r="B82" s="233"/>
      <c r="C82" s="128" t="s">
        <v>260</v>
      </c>
      <c r="D82" s="129" t="s">
        <v>179</v>
      </c>
      <c r="E82" s="392" t="s">
        <v>281</v>
      </c>
      <c r="F82" s="230" t="s">
        <v>5</v>
      </c>
      <c r="G82" s="230" t="s">
        <v>5</v>
      </c>
      <c r="H82" s="230" t="s">
        <v>5</v>
      </c>
      <c r="I82" s="392" t="s">
        <v>274</v>
      </c>
      <c r="J82" s="230" t="s">
        <v>5</v>
      </c>
      <c r="K82" s="230" t="s">
        <v>5</v>
      </c>
      <c r="L82" s="230" t="s">
        <v>5</v>
      </c>
      <c r="M82" s="125" t="s">
        <v>6</v>
      </c>
      <c r="N82" s="130" t="s">
        <v>6</v>
      </c>
      <c r="O82" s="240" t="s">
        <v>6</v>
      </c>
      <c r="P82" s="131"/>
      <c r="Q82" s="220" t="s">
        <v>5</v>
      </c>
      <c r="R82" s="132">
        <f t="shared" si="4"/>
        <v>0</v>
      </c>
      <c r="S82" s="79"/>
      <c r="T82" s="79"/>
      <c r="U82" s="79"/>
      <c r="V82" s="79"/>
      <c r="W82" s="48"/>
      <c r="X82" s="48"/>
      <c r="Y82" s="48"/>
      <c r="Z82" s="48"/>
      <c r="AA82" s="75"/>
      <c r="AB82" s="89"/>
      <c r="AC82" s="72"/>
      <c r="AD82" s="72"/>
      <c r="AE82" s="75"/>
      <c r="AF82" s="75"/>
      <c r="AG82" s="48"/>
      <c r="AH82" s="72"/>
      <c r="AI82" s="72"/>
      <c r="AJ82" s="72"/>
      <c r="AK82" s="72"/>
      <c r="AL82" s="72"/>
      <c r="AM82" s="72"/>
      <c r="AN82" s="72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133"/>
      <c r="BY82" s="48"/>
      <c r="BZ82" s="268"/>
      <c r="CA82" s="268"/>
      <c r="CB82" s="268"/>
      <c r="CC82" s="268"/>
      <c r="CD82" s="268"/>
      <c r="CE82" s="268"/>
      <c r="CF82" s="268"/>
      <c r="CG82" s="268"/>
      <c r="CH82" s="268"/>
      <c r="CI82" s="268"/>
      <c r="CJ82" s="268"/>
      <c r="CK82" s="268"/>
      <c r="CL82" s="268"/>
      <c r="CM82" s="268"/>
      <c r="CN82" s="268"/>
      <c r="CO82" s="268"/>
      <c r="CP82" s="268"/>
      <c r="CQ82" s="268"/>
      <c r="CR82" s="268"/>
    </row>
    <row r="83" spans="1:96" s="134" customFormat="1" ht="18" hidden="1" outlineLevel="1" x14ac:dyDescent="0.3">
      <c r="A83" s="268"/>
      <c r="B83" s="233"/>
      <c r="C83" s="128"/>
      <c r="D83" s="129" t="s">
        <v>179</v>
      </c>
      <c r="E83" s="392" t="s">
        <v>281</v>
      </c>
      <c r="F83" s="230" t="s">
        <v>5</v>
      </c>
      <c r="G83" s="230" t="s">
        <v>5</v>
      </c>
      <c r="H83" s="230" t="s">
        <v>5</v>
      </c>
      <c r="I83" s="230"/>
      <c r="J83" s="230" t="s">
        <v>5</v>
      </c>
      <c r="K83" s="230" t="s">
        <v>5</v>
      </c>
      <c r="L83" s="230" t="s">
        <v>5</v>
      </c>
      <c r="M83" s="125" t="s">
        <v>6</v>
      </c>
      <c r="N83" s="130" t="s">
        <v>6</v>
      </c>
      <c r="O83" s="240" t="s">
        <v>6</v>
      </c>
      <c r="P83" s="131"/>
      <c r="Q83" s="220" t="s">
        <v>5</v>
      </c>
      <c r="R83" s="132">
        <f t="shared" si="4"/>
        <v>0</v>
      </c>
      <c r="S83" s="79"/>
      <c r="T83" s="79"/>
      <c r="U83" s="79"/>
      <c r="V83" s="79"/>
      <c r="W83" s="48"/>
      <c r="X83" s="48"/>
      <c r="Y83" s="48"/>
      <c r="Z83" s="48"/>
      <c r="AA83" s="75"/>
      <c r="AB83" s="89"/>
      <c r="AC83" s="72"/>
      <c r="AD83" s="72"/>
      <c r="AE83" s="75"/>
      <c r="AF83" s="75"/>
      <c r="AG83" s="48"/>
      <c r="AH83" s="72"/>
      <c r="AI83" s="72"/>
      <c r="AJ83" s="72"/>
      <c r="AK83" s="72"/>
      <c r="AL83" s="72"/>
      <c r="AM83" s="72"/>
      <c r="AN83" s="72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133"/>
      <c r="BY83" s="48"/>
      <c r="BZ83" s="268"/>
      <c r="CA83" s="268"/>
      <c r="CB83" s="268"/>
      <c r="CC83" s="268"/>
      <c r="CD83" s="268"/>
      <c r="CE83" s="268"/>
      <c r="CF83" s="268"/>
      <c r="CG83" s="268"/>
      <c r="CH83" s="268"/>
      <c r="CI83" s="268"/>
      <c r="CJ83" s="268"/>
      <c r="CK83" s="268"/>
      <c r="CL83" s="268"/>
      <c r="CM83" s="268"/>
      <c r="CN83" s="268"/>
      <c r="CO83" s="268"/>
      <c r="CP83" s="268"/>
      <c r="CQ83" s="268"/>
      <c r="CR83" s="268"/>
    </row>
    <row r="84" spans="1:96" s="112" customFormat="1" ht="18" collapsed="1" x14ac:dyDescent="0.3">
      <c r="A84" s="267"/>
      <c r="B84" s="232"/>
      <c r="C84" s="124" t="s">
        <v>302</v>
      </c>
      <c r="D84" s="107" t="s">
        <v>174</v>
      </c>
      <c r="E84" s="392" t="s">
        <v>281</v>
      </c>
      <c r="F84" s="392" t="s">
        <v>274</v>
      </c>
      <c r="G84" s="392" t="s">
        <v>274</v>
      </c>
      <c r="H84" s="392" t="s">
        <v>274</v>
      </c>
      <c r="I84" s="392" t="s">
        <v>274</v>
      </c>
      <c r="J84" s="230" t="s">
        <v>5</v>
      </c>
      <c r="K84" s="230" t="s">
        <v>5</v>
      </c>
      <c r="L84" s="230" t="s">
        <v>5</v>
      </c>
      <c r="M84" s="108">
        <v>30</v>
      </c>
      <c r="N84" s="130">
        <v>29.95</v>
      </c>
      <c r="O84" s="240" t="s">
        <v>6</v>
      </c>
      <c r="P84" s="372"/>
      <c r="Q84" s="218" t="s">
        <v>5</v>
      </c>
      <c r="R84" s="79">
        <v>24.95</v>
      </c>
      <c r="S84" s="79"/>
      <c r="T84" s="79"/>
      <c r="U84" s="79"/>
      <c r="V84" s="79"/>
      <c r="W84" s="100"/>
      <c r="X84" s="100"/>
      <c r="Y84" s="100"/>
      <c r="Z84" s="100"/>
      <c r="AA84" s="75"/>
      <c r="AB84" s="75"/>
      <c r="AC84" s="126"/>
      <c r="AD84" s="126"/>
      <c r="AE84" s="75"/>
      <c r="AF84" s="75"/>
      <c r="AG84" s="48"/>
      <c r="AH84" s="126"/>
      <c r="AI84" s="126"/>
      <c r="AJ84" s="126"/>
      <c r="AK84" s="126"/>
      <c r="AL84" s="126"/>
      <c r="AM84" s="126"/>
      <c r="AN84" s="126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100"/>
      <c r="BI84" s="127"/>
      <c r="BJ84" s="127"/>
      <c r="BK84" s="100"/>
      <c r="BL84" s="100"/>
      <c r="BM84" s="127"/>
      <c r="BN84" s="127"/>
      <c r="BO84" s="100"/>
      <c r="BP84" s="100"/>
      <c r="BQ84" s="127"/>
      <c r="BR84" s="127"/>
      <c r="BS84" s="100"/>
      <c r="BT84" s="100"/>
      <c r="BU84" s="100"/>
      <c r="BV84" s="127"/>
      <c r="BW84" s="127"/>
      <c r="BX84" s="111"/>
      <c r="BY84" s="100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7"/>
      <c r="CM84" s="267"/>
      <c r="CN84" s="267"/>
      <c r="CO84" s="267"/>
      <c r="CP84" s="267"/>
      <c r="CQ84" s="267"/>
      <c r="CR84" s="267"/>
    </row>
    <row r="85" spans="1:96" s="134" customFormat="1" ht="18" x14ac:dyDescent="0.3">
      <c r="A85" s="268"/>
      <c r="B85" s="233"/>
      <c r="C85" s="128" t="s">
        <v>347</v>
      </c>
      <c r="D85" s="129" t="s">
        <v>168</v>
      </c>
      <c r="E85" s="392" t="s">
        <v>281</v>
      </c>
      <c r="F85" s="392" t="s">
        <v>274</v>
      </c>
      <c r="G85" s="392" t="s">
        <v>274</v>
      </c>
      <c r="H85" s="392" t="s">
        <v>274</v>
      </c>
      <c r="I85" s="392" t="s">
        <v>274</v>
      </c>
      <c r="J85" s="230" t="s">
        <v>5</v>
      </c>
      <c r="K85" s="230" t="s">
        <v>5</v>
      </c>
      <c r="L85" s="230" t="s">
        <v>5</v>
      </c>
      <c r="M85" s="125" t="s">
        <v>6</v>
      </c>
      <c r="N85" s="130" t="s">
        <v>6</v>
      </c>
      <c r="O85" s="240" t="s">
        <v>6</v>
      </c>
      <c r="P85" s="131"/>
      <c r="Q85" s="220" t="s">
        <v>5</v>
      </c>
      <c r="R85" s="132">
        <f t="shared" ref="R85:R102" si="6">AB85</f>
        <v>0</v>
      </c>
      <c r="S85" s="79"/>
      <c r="T85" s="79"/>
      <c r="U85" s="79"/>
      <c r="V85" s="79"/>
      <c r="W85" s="48"/>
      <c r="X85" s="48"/>
      <c r="Y85" s="48"/>
      <c r="Z85" s="48"/>
      <c r="AA85" s="75"/>
      <c r="AB85" s="89"/>
      <c r="AC85" s="72"/>
      <c r="AD85" s="72"/>
      <c r="AE85" s="75"/>
      <c r="AF85" s="75"/>
      <c r="AG85" s="48"/>
      <c r="AH85" s="72"/>
      <c r="AI85" s="72"/>
      <c r="AJ85" s="72"/>
      <c r="AK85" s="72"/>
      <c r="AL85" s="72"/>
      <c r="AM85" s="72"/>
      <c r="AN85" s="72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133"/>
      <c r="BY85" s="48"/>
      <c r="BZ85" s="268"/>
      <c r="CA85" s="268"/>
      <c r="CB85" s="268"/>
      <c r="CC85" s="268"/>
      <c r="CD85" s="268"/>
      <c r="CE85" s="268"/>
      <c r="CF85" s="268"/>
      <c r="CG85" s="268"/>
      <c r="CH85" s="268"/>
      <c r="CI85" s="268"/>
      <c r="CJ85" s="268"/>
      <c r="CK85" s="268"/>
      <c r="CL85" s="268"/>
      <c r="CM85" s="268"/>
      <c r="CN85" s="268"/>
      <c r="CO85" s="268"/>
      <c r="CP85" s="268"/>
      <c r="CQ85" s="268"/>
      <c r="CR85" s="268"/>
    </row>
    <row r="86" spans="1:96" s="134" customFormat="1" ht="18" x14ac:dyDescent="0.3">
      <c r="A86" s="268"/>
      <c r="B86" s="233"/>
      <c r="C86" s="128" t="s">
        <v>333</v>
      </c>
      <c r="D86" s="129" t="s">
        <v>341</v>
      </c>
      <c r="E86" s="392" t="s">
        <v>281</v>
      </c>
      <c r="F86" s="392" t="s">
        <v>274</v>
      </c>
      <c r="G86" s="392" t="s">
        <v>274</v>
      </c>
      <c r="H86" s="392" t="s">
        <v>274</v>
      </c>
      <c r="I86" s="392" t="s">
        <v>274</v>
      </c>
      <c r="J86" s="235" t="s">
        <v>5</v>
      </c>
      <c r="K86" s="235" t="s">
        <v>5</v>
      </c>
      <c r="L86" s="235" t="s">
        <v>5</v>
      </c>
      <c r="M86" s="125" t="s">
        <v>6</v>
      </c>
      <c r="N86" s="130" t="s">
        <v>6</v>
      </c>
      <c r="O86" s="240" t="s">
        <v>6</v>
      </c>
      <c r="P86" s="131"/>
      <c r="Q86" s="220" t="s">
        <v>5</v>
      </c>
      <c r="R86" s="132"/>
      <c r="S86" s="79"/>
      <c r="T86" s="79"/>
      <c r="U86" s="79"/>
      <c r="V86" s="79"/>
      <c r="W86" s="48"/>
      <c r="X86" s="48"/>
      <c r="Y86" s="48"/>
      <c r="Z86" s="48"/>
      <c r="AA86" s="75"/>
      <c r="AB86" s="89"/>
      <c r="AC86" s="72"/>
      <c r="AD86" s="72"/>
      <c r="AE86" s="75"/>
      <c r="AF86" s="75"/>
      <c r="AG86" s="48"/>
      <c r="AH86" s="72"/>
      <c r="AI86" s="72"/>
      <c r="AJ86" s="72"/>
      <c r="AK86" s="72"/>
      <c r="AL86" s="72"/>
      <c r="AM86" s="72"/>
      <c r="AN86" s="72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133"/>
      <c r="BY86" s="48"/>
      <c r="BZ86" s="268"/>
      <c r="CA86" s="268"/>
      <c r="CB86" s="268"/>
      <c r="CC86" s="268"/>
      <c r="CD86" s="268"/>
      <c r="CE86" s="268"/>
      <c r="CF86" s="268"/>
      <c r="CG86" s="268"/>
      <c r="CH86" s="268"/>
      <c r="CI86" s="268"/>
      <c r="CJ86" s="268"/>
      <c r="CK86" s="268"/>
      <c r="CL86" s="268"/>
      <c r="CM86" s="268"/>
      <c r="CN86" s="268"/>
      <c r="CO86" s="268"/>
      <c r="CP86" s="268"/>
      <c r="CQ86" s="268"/>
      <c r="CR86" s="268"/>
    </row>
    <row r="87" spans="1:96" s="134" customFormat="1" ht="18" collapsed="1" x14ac:dyDescent="0.3">
      <c r="A87" s="268"/>
      <c r="B87" s="233"/>
      <c r="C87" s="128" t="s">
        <v>334</v>
      </c>
      <c r="D87" s="129" t="s">
        <v>341</v>
      </c>
      <c r="E87" s="392" t="s">
        <v>281</v>
      </c>
      <c r="F87" s="392" t="s">
        <v>274</v>
      </c>
      <c r="G87" s="392" t="s">
        <v>274</v>
      </c>
      <c r="H87" s="392" t="s">
        <v>274</v>
      </c>
      <c r="I87" s="392" t="s">
        <v>274</v>
      </c>
      <c r="J87" s="235" t="s">
        <v>5</v>
      </c>
      <c r="K87" s="235" t="s">
        <v>5</v>
      </c>
      <c r="L87" s="235" t="s">
        <v>5</v>
      </c>
      <c r="M87" s="125" t="s">
        <v>6</v>
      </c>
      <c r="N87" s="130" t="s">
        <v>6</v>
      </c>
      <c r="O87" s="240" t="s">
        <v>6</v>
      </c>
      <c r="P87" s="131"/>
      <c r="Q87" s="220" t="s">
        <v>5</v>
      </c>
      <c r="R87" s="132"/>
      <c r="S87" s="79"/>
      <c r="T87" s="79"/>
      <c r="U87" s="79"/>
      <c r="V87" s="79"/>
      <c r="W87" s="48"/>
      <c r="X87" s="48"/>
      <c r="Y87" s="48"/>
      <c r="Z87" s="48"/>
      <c r="AA87" s="75"/>
      <c r="AB87" s="89"/>
      <c r="AC87" s="72"/>
      <c r="AD87" s="72"/>
      <c r="AE87" s="75"/>
      <c r="AF87" s="75"/>
      <c r="AG87" s="48"/>
      <c r="AH87" s="72"/>
      <c r="AI87" s="72"/>
      <c r="AJ87" s="72"/>
      <c r="AK87" s="72"/>
      <c r="AL87" s="72"/>
      <c r="AM87" s="72"/>
      <c r="AN87" s="72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133"/>
      <c r="BY87" s="48"/>
      <c r="BZ87" s="268"/>
      <c r="CA87" s="268"/>
      <c r="CB87" s="268"/>
      <c r="CC87" s="268"/>
      <c r="CD87" s="268"/>
      <c r="CE87" s="268"/>
      <c r="CF87" s="268"/>
      <c r="CG87" s="268"/>
      <c r="CH87" s="268"/>
      <c r="CI87" s="268"/>
      <c r="CJ87" s="268"/>
      <c r="CK87" s="268"/>
      <c r="CL87" s="268"/>
      <c r="CM87" s="268"/>
      <c r="CN87" s="268"/>
      <c r="CO87" s="268"/>
      <c r="CP87" s="268"/>
      <c r="CQ87" s="268"/>
      <c r="CR87" s="268"/>
    </row>
    <row r="88" spans="1:96" s="134" customFormat="1" ht="18" collapsed="1" x14ac:dyDescent="0.3">
      <c r="A88" s="268"/>
      <c r="B88" s="233"/>
      <c r="C88" s="128" t="s">
        <v>335</v>
      </c>
      <c r="D88" s="129" t="s">
        <v>341</v>
      </c>
      <c r="E88" s="392" t="s">
        <v>281</v>
      </c>
      <c r="F88" s="392" t="s">
        <v>274</v>
      </c>
      <c r="G88" s="392" t="s">
        <v>274</v>
      </c>
      <c r="H88" s="392" t="s">
        <v>274</v>
      </c>
      <c r="I88" s="392" t="s">
        <v>274</v>
      </c>
      <c r="J88" s="235" t="s">
        <v>5</v>
      </c>
      <c r="K88" s="235" t="s">
        <v>5</v>
      </c>
      <c r="L88" s="235" t="s">
        <v>5</v>
      </c>
      <c r="M88" s="125" t="s">
        <v>6</v>
      </c>
      <c r="N88" s="130" t="s">
        <v>6</v>
      </c>
      <c r="O88" s="240" t="s">
        <v>6</v>
      </c>
      <c r="P88" s="131"/>
      <c r="Q88" s="220" t="s">
        <v>5</v>
      </c>
      <c r="R88" s="132"/>
      <c r="S88" s="79"/>
      <c r="T88" s="79"/>
      <c r="U88" s="79"/>
      <c r="V88" s="79"/>
      <c r="W88" s="48"/>
      <c r="X88" s="48"/>
      <c r="Y88" s="48"/>
      <c r="Z88" s="48"/>
      <c r="AA88" s="75"/>
      <c r="AB88" s="89"/>
      <c r="AC88" s="72"/>
      <c r="AD88" s="72"/>
      <c r="AE88" s="75"/>
      <c r="AF88" s="75"/>
      <c r="AG88" s="48"/>
      <c r="AH88" s="72"/>
      <c r="AI88" s="72"/>
      <c r="AJ88" s="72"/>
      <c r="AK88" s="72"/>
      <c r="AL88" s="72"/>
      <c r="AM88" s="72"/>
      <c r="AN88" s="72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133"/>
      <c r="BY88" s="48"/>
      <c r="BZ88" s="268"/>
      <c r="CA88" s="268"/>
      <c r="CB88" s="268"/>
      <c r="CC88" s="268"/>
      <c r="CD88" s="268"/>
      <c r="CE88" s="268"/>
      <c r="CF88" s="268"/>
      <c r="CG88" s="268"/>
      <c r="CH88" s="268"/>
      <c r="CI88" s="268"/>
      <c r="CJ88" s="268"/>
      <c r="CK88" s="268"/>
      <c r="CL88" s="268"/>
      <c r="CM88" s="268"/>
      <c r="CN88" s="268"/>
      <c r="CO88" s="268"/>
      <c r="CP88" s="268"/>
      <c r="CQ88" s="268"/>
      <c r="CR88" s="268"/>
    </row>
    <row r="89" spans="1:96" s="134" customFormat="1" ht="18" collapsed="1" x14ac:dyDescent="0.3">
      <c r="A89" s="268"/>
      <c r="B89" s="233"/>
      <c r="C89" s="128" t="s">
        <v>348</v>
      </c>
      <c r="D89" s="129" t="s">
        <v>341</v>
      </c>
      <c r="E89" s="392" t="s">
        <v>281</v>
      </c>
      <c r="F89" s="392" t="s">
        <v>274</v>
      </c>
      <c r="G89" s="392" t="s">
        <v>274</v>
      </c>
      <c r="H89" s="392" t="s">
        <v>274</v>
      </c>
      <c r="I89" s="392" t="s">
        <v>274</v>
      </c>
      <c r="J89" s="235" t="s">
        <v>5</v>
      </c>
      <c r="K89" s="235" t="s">
        <v>5</v>
      </c>
      <c r="L89" s="235" t="s">
        <v>5</v>
      </c>
      <c r="M89" s="125" t="s">
        <v>6</v>
      </c>
      <c r="N89" s="130" t="s">
        <v>6</v>
      </c>
      <c r="O89" s="240" t="s">
        <v>6</v>
      </c>
      <c r="P89" s="131"/>
      <c r="Q89" s="220" t="s">
        <v>5</v>
      </c>
      <c r="R89" s="132"/>
      <c r="S89" s="79"/>
      <c r="T89" s="79"/>
      <c r="U89" s="79"/>
      <c r="V89" s="79"/>
      <c r="W89" s="48"/>
      <c r="X89" s="48"/>
      <c r="Y89" s="48"/>
      <c r="Z89" s="48"/>
      <c r="AA89" s="75"/>
      <c r="AB89" s="89"/>
      <c r="AC89" s="72"/>
      <c r="AD89" s="72"/>
      <c r="AE89" s="75"/>
      <c r="AF89" s="75"/>
      <c r="AG89" s="48"/>
      <c r="AH89" s="72"/>
      <c r="AI89" s="72"/>
      <c r="AJ89" s="72"/>
      <c r="AK89" s="72"/>
      <c r="AL89" s="72"/>
      <c r="AM89" s="72"/>
      <c r="AN89" s="72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133"/>
      <c r="BY89" s="48"/>
      <c r="BZ89" s="268"/>
      <c r="CA89" s="268"/>
      <c r="CB89" s="268"/>
      <c r="CC89" s="268"/>
      <c r="CD89" s="268"/>
      <c r="CE89" s="268"/>
      <c r="CF89" s="268"/>
      <c r="CG89" s="268"/>
      <c r="CH89" s="268"/>
      <c r="CI89" s="268"/>
      <c r="CJ89" s="268"/>
      <c r="CK89" s="268"/>
      <c r="CL89" s="268"/>
      <c r="CM89" s="268"/>
      <c r="CN89" s="268"/>
      <c r="CO89" s="268"/>
      <c r="CP89" s="268"/>
      <c r="CQ89" s="268"/>
      <c r="CR89" s="268"/>
    </row>
    <row r="90" spans="1:96" s="134" customFormat="1" ht="18" x14ac:dyDescent="0.3">
      <c r="A90" s="268"/>
      <c r="B90" s="233"/>
      <c r="C90" s="128" t="s">
        <v>336</v>
      </c>
      <c r="D90" s="129" t="s">
        <v>341</v>
      </c>
      <c r="E90" s="392" t="s">
        <v>281</v>
      </c>
      <c r="F90" s="392" t="s">
        <v>274</v>
      </c>
      <c r="G90" s="392" t="s">
        <v>274</v>
      </c>
      <c r="H90" s="392" t="s">
        <v>274</v>
      </c>
      <c r="I90" s="392" t="s">
        <v>274</v>
      </c>
      <c r="J90" s="235" t="s">
        <v>5</v>
      </c>
      <c r="K90" s="235" t="s">
        <v>5</v>
      </c>
      <c r="L90" s="235" t="s">
        <v>5</v>
      </c>
      <c r="M90" s="125" t="s">
        <v>6</v>
      </c>
      <c r="N90" s="130" t="s">
        <v>6</v>
      </c>
      <c r="O90" s="240" t="s">
        <v>6</v>
      </c>
      <c r="P90" s="131"/>
      <c r="Q90" s="220" t="s">
        <v>5</v>
      </c>
      <c r="R90" s="132"/>
      <c r="S90" s="79"/>
      <c r="T90" s="79"/>
      <c r="U90" s="79"/>
      <c r="V90" s="79"/>
      <c r="W90" s="48"/>
      <c r="X90" s="48"/>
      <c r="Y90" s="48"/>
      <c r="Z90" s="48"/>
      <c r="AA90" s="75"/>
      <c r="AB90" s="89"/>
      <c r="AC90" s="72"/>
      <c r="AD90" s="72"/>
      <c r="AE90" s="75"/>
      <c r="AF90" s="75"/>
      <c r="AG90" s="48"/>
      <c r="AH90" s="72"/>
      <c r="AI90" s="72"/>
      <c r="AJ90" s="72"/>
      <c r="AK90" s="72"/>
      <c r="AL90" s="72"/>
      <c r="AM90" s="72"/>
      <c r="AN90" s="72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133"/>
      <c r="BY90" s="48"/>
      <c r="BZ90" s="268"/>
      <c r="CA90" s="268"/>
      <c r="CB90" s="268"/>
      <c r="CC90" s="268"/>
      <c r="CD90" s="268"/>
      <c r="CE90" s="268"/>
      <c r="CF90" s="268"/>
      <c r="CG90" s="268"/>
      <c r="CH90" s="268"/>
      <c r="CI90" s="268"/>
      <c r="CJ90" s="268"/>
      <c r="CK90" s="268"/>
      <c r="CL90" s="268"/>
      <c r="CM90" s="268"/>
      <c r="CN90" s="268"/>
      <c r="CO90" s="268"/>
      <c r="CP90" s="268"/>
      <c r="CQ90" s="268"/>
      <c r="CR90" s="268"/>
    </row>
    <row r="91" spans="1:96" s="134" customFormat="1" ht="18" x14ac:dyDescent="0.3">
      <c r="A91" s="268"/>
      <c r="B91" s="233"/>
      <c r="C91" s="377" t="s">
        <v>337</v>
      </c>
      <c r="D91" s="129" t="s">
        <v>341</v>
      </c>
      <c r="E91" s="392" t="s">
        <v>281</v>
      </c>
      <c r="F91" s="392" t="s">
        <v>274</v>
      </c>
      <c r="G91" s="392" t="s">
        <v>274</v>
      </c>
      <c r="H91" s="392" t="s">
        <v>274</v>
      </c>
      <c r="I91" s="392" t="s">
        <v>274</v>
      </c>
      <c r="J91" s="235" t="s">
        <v>5</v>
      </c>
      <c r="K91" s="235" t="s">
        <v>5</v>
      </c>
      <c r="L91" s="235" t="s">
        <v>5</v>
      </c>
      <c r="M91" s="125" t="s">
        <v>6</v>
      </c>
      <c r="N91" s="130" t="s">
        <v>6</v>
      </c>
      <c r="O91" s="240" t="s">
        <v>6</v>
      </c>
      <c r="P91" s="131"/>
      <c r="Q91" s="220" t="s">
        <v>5</v>
      </c>
      <c r="R91" s="132"/>
      <c r="S91" s="79"/>
      <c r="T91" s="79"/>
      <c r="U91" s="79"/>
      <c r="V91" s="79"/>
      <c r="W91" s="48"/>
      <c r="X91" s="48"/>
      <c r="Y91" s="48"/>
      <c r="Z91" s="48"/>
      <c r="AA91" s="75"/>
      <c r="AB91" s="89"/>
      <c r="AC91" s="72"/>
      <c r="AD91" s="72"/>
      <c r="AE91" s="75"/>
      <c r="AF91" s="75"/>
      <c r="AG91" s="48"/>
      <c r="AH91" s="72"/>
      <c r="AI91" s="72"/>
      <c r="AJ91" s="72"/>
      <c r="AK91" s="72"/>
      <c r="AL91" s="72"/>
      <c r="AM91" s="72"/>
      <c r="AN91" s="72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133"/>
      <c r="BY91" s="48"/>
      <c r="BZ91" s="268"/>
      <c r="CA91" s="268"/>
      <c r="CB91" s="268"/>
      <c r="CC91" s="268"/>
      <c r="CD91" s="268"/>
      <c r="CE91" s="268"/>
      <c r="CF91" s="268"/>
      <c r="CG91" s="268"/>
      <c r="CH91" s="268"/>
      <c r="CI91" s="268"/>
      <c r="CJ91" s="268"/>
      <c r="CK91" s="268"/>
      <c r="CL91" s="268"/>
      <c r="CM91" s="268"/>
      <c r="CN91" s="268"/>
      <c r="CO91" s="268"/>
      <c r="CP91" s="268"/>
      <c r="CQ91" s="268"/>
      <c r="CR91" s="268"/>
    </row>
    <row r="92" spans="1:96" s="134" customFormat="1" ht="18" x14ac:dyDescent="0.3">
      <c r="A92" s="268"/>
      <c r="B92" s="233"/>
      <c r="C92" s="377" t="s">
        <v>338</v>
      </c>
      <c r="D92" s="129" t="s">
        <v>341</v>
      </c>
      <c r="E92" s="392" t="s">
        <v>281</v>
      </c>
      <c r="F92" s="392" t="s">
        <v>274</v>
      </c>
      <c r="G92" s="392" t="s">
        <v>274</v>
      </c>
      <c r="H92" s="392" t="s">
        <v>274</v>
      </c>
      <c r="I92" s="392" t="s">
        <v>274</v>
      </c>
      <c r="J92" s="235" t="s">
        <v>5</v>
      </c>
      <c r="K92" s="235" t="s">
        <v>5</v>
      </c>
      <c r="L92" s="235" t="s">
        <v>5</v>
      </c>
      <c r="M92" s="125" t="s">
        <v>6</v>
      </c>
      <c r="N92" s="130" t="s">
        <v>6</v>
      </c>
      <c r="O92" s="240" t="s">
        <v>6</v>
      </c>
      <c r="P92" s="131"/>
      <c r="Q92" s="220" t="s">
        <v>5</v>
      </c>
      <c r="R92" s="132"/>
      <c r="S92" s="79"/>
      <c r="T92" s="79"/>
      <c r="U92" s="79"/>
      <c r="V92" s="79"/>
      <c r="W92" s="48"/>
      <c r="X92" s="48"/>
      <c r="Y92" s="48"/>
      <c r="Z92" s="48"/>
      <c r="AA92" s="75"/>
      <c r="AB92" s="89"/>
      <c r="AC92" s="72"/>
      <c r="AD92" s="72"/>
      <c r="AE92" s="75"/>
      <c r="AF92" s="75"/>
      <c r="AG92" s="48"/>
      <c r="AH92" s="72"/>
      <c r="AI92" s="72"/>
      <c r="AJ92" s="72"/>
      <c r="AK92" s="72"/>
      <c r="AL92" s="72"/>
      <c r="AM92" s="72"/>
      <c r="AN92" s="72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133"/>
      <c r="BY92" s="48"/>
      <c r="BZ92" s="268"/>
      <c r="CA92" s="268"/>
      <c r="CB92" s="268"/>
      <c r="CC92" s="268"/>
      <c r="CD92" s="268"/>
      <c r="CE92" s="268"/>
      <c r="CF92" s="268"/>
      <c r="CG92" s="268"/>
      <c r="CH92" s="268"/>
      <c r="CI92" s="268"/>
      <c r="CJ92" s="268"/>
      <c r="CK92" s="268"/>
      <c r="CL92" s="268"/>
      <c r="CM92" s="268"/>
      <c r="CN92" s="268"/>
      <c r="CO92" s="268"/>
      <c r="CP92" s="268"/>
      <c r="CQ92" s="268"/>
      <c r="CR92" s="268"/>
    </row>
    <row r="93" spans="1:96" s="134" customFormat="1" ht="18" x14ac:dyDescent="0.3">
      <c r="A93" s="268"/>
      <c r="B93" s="233"/>
      <c r="C93" s="377" t="s">
        <v>339</v>
      </c>
      <c r="D93" s="129" t="s">
        <v>341</v>
      </c>
      <c r="E93" s="392" t="s">
        <v>281</v>
      </c>
      <c r="F93" s="392" t="s">
        <v>274</v>
      </c>
      <c r="G93" s="392" t="s">
        <v>274</v>
      </c>
      <c r="H93" s="392" t="s">
        <v>274</v>
      </c>
      <c r="I93" s="392" t="s">
        <v>274</v>
      </c>
      <c r="J93" s="235" t="s">
        <v>5</v>
      </c>
      <c r="K93" s="235" t="s">
        <v>5</v>
      </c>
      <c r="L93" s="235" t="s">
        <v>5</v>
      </c>
      <c r="M93" s="125" t="s">
        <v>6</v>
      </c>
      <c r="N93" s="130" t="s">
        <v>6</v>
      </c>
      <c r="O93" s="240" t="s">
        <v>6</v>
      </c>
      <c r="P93" s="131"/>
      <c r="Q93" s="220" t="s">
        <v>5</v>
      </c>
      <c r="R93" s="132"/>
      <c r="S93" s="79"/>
      <c r="T93" s="79"/>
      <c r="U93" s="79"/>
      <c r="V93" s="79"/>
      <c r="W93" s="48"/>
      <c r="X93" s="48"/>
      <c r="Y93" s="48"/>
      <c r="Z93" s="48"/>
      <c r="AA93" s="75"/>
      <c r="AB93" s="89"/>
      <c r="AC93" s="72"/>
      <c r="AD93" s="72"/>
      <c r="AE93" s="75"/>
      <c r="AF93" s="75"/>
      <c r="AG93" s="48"/>
      <c r="AH93" s="72"/>
      <c r="AI93" s="72"/>
      <c r="AJ93" s="72"/>
      <c r="AK93" s="72"/>
      <c r="AL93" s="72"/>
      <c r="AM93" s="72"/>
      <c r="AN93" s="72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133"/>
      <c r="BY93" s="48"/>
      <c r="BZ93" s="268"/>
      <c r="CA93" s="268"/>
      <c r="CB93" s="268"/>
      <c r="CC93" s="268"/>
      <c r="CD93" s="268"/>
      <c r="CE93" s="268"/>
      <c r="CF93" s="268"/>
      <c r="CG93" s="268"/>
      <c r="CH93" s="268"/>
      <c r="CI93" s="268"/>
      <c r="CJ93" s="268"/>
      <c r="CK93" s="268"/>
      <c r="CL93" s="268"/>
      <c r="CM93" s="268"/>
      <c r="CN93" s="268"/>
      <c r="CO93" s="268"/>
      <c r="CP93" s="268"/>
      <c r="CQ93" s="268"/>
      <c r="CR93" s="268"/>
    </row>
    <row r="94" spans="1:96" s="134" customFormat="1" ht="18" x14ac:dyDescent="0.3">
      <c r="A94" s="268"/>
      <c r="B94" s="233"/>
      <c r="C94" s="377" t="s">
        <v>340</v>
      </c>
      <c r="D94" s="129" t="s">
        <v>341</v>
      </c>
      <c r="E94" s="392" t="s">
        <v>281</v>
      </c>
      <c r="F94" s="392" t="s">
        <v>274</v>
      </c>
      <c r="G94" s="392" t="s">
        <v>274</v>
      </c>
      <c r="H94" s="392" t="s">
        <v>274</v>
      </c>
      <c r="I94" s="392" t="s">
        <v>274</v>
      </c>
      <c r="J94" s="235" t="s">
        <v>5</v>
      </c>
      <c r="K94" s="235" t="s">
        <v>5</v>
      </c>
      <c r="L94" s="235" t="s">
        <v>5</v>
      </c>
      <c r="M94" s="125" t="s">
        <v>6</v>
      </c>
      <c r="N94" s="130" t="s">
        <v>6</v>
      </c>
      <c r="O94" s="240" t="s">
        <v>6</v>
      </c>
      <c r="P94" s="131"/>
      <c r="Q94" s="220" t="s">
        <v>5</v>
      </c>
      <c r="R94" s="132"/>
      <c r="S94" s="79"/>
      <c r="T94" s="79"/>
      <c r="U94" s="79"/>
      <c r="V94" s="79"/>
      <c r="W94" s="48"/>
      <c r="X94" s="48"/>
      <c r="Y94" s="48"/>
      <c r="Z94" s="48"/>
      <c r="AA94" s="75"/>
      <c r="AB94" s="89"/>
      <c r="AC94" s="72"/>
      <c r="AD94" s="72"/>
      <c r="AE94" s="75"/>
      <c r="AF94" s="75"/>
      <c r="AG94" s="48"/>
      <c r="AH94" s="72"/>
      <c r="AI94" s="72"/>
      <c r="AJ94" s="72"/>
      <c r="AK94" s="72"/>
      <c r="AL94" s="72"/>
      <c r="AM94" s="72"/>
      <c r="AN94" s="72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133"/>
      <c r="BY94" s="48"/>
      <c r="BZ94" s="268"/>
      <c r="CA94" s="268"/>
      <c r="CB94" s="268"/>
      <c r="CC94" s="268"/>
      <c r="CD94" s="268"/>
      <c r="CE94" s="268"/>
      <c r="CF94" s="268"/>
      <c r="CG94" s="268"/>
      <c r="CH94" s="268"/>
      <c r="CI94" s="268"/>
      <c r="CJ94" s="268"/>
      <c r="CK94" s="268"/>
      <c r="CL94" s="268"/>
      <c r="CM94" s="268"/>
      <c r="CN94" s="268"/>
      <c r="CO94" s="268"/>
      <c r="CP94" s="268"/>
      <c r="CQ94" s="268"/>
      <c r="CR94" s="268"/>
    </row>
    <row r="95" spans="1:96" s="134" customFormat="1" ht="18" x14ac:dyDescent="0.3">
      <c r="A95" s="268"/>
      <c r="B95" s="233"/>
      <c r="C95" s="377" t="s">
        <v>343</v>
      </c>
      <c r="D95" s="129" t="s">
        <v>341</v>
      </c>
      <c r="E95" s="392" t="s">
        <v>281</v>
      </c>
      <c r="F95" s="392" t="s">
        <v>274</v>
      </c>
      <c r="G95" s="392" t="s">
        <v>274</v>
      </c>
      <c r="H95" s="392" t="s">
        <v>274</v>
      </c>
      <c r="I95" s="392" t="s">
        <v>274</v>
      </c>
      <c r="J95" s="235" t="s">
        <v>5</v>
      </c>
      <c r="K95" s="235" t="s">
        <v>5</v>
      </c>
      <c r="L95" s="235" t="s">
        <v>5</v>
      </c>
      <c r="M95" s="125" t="s">
        <v>6</v>
      </c>
      <c r="N95" s="130" t="s">
        <v>6</v>
      </c>
      <c r="O95" s="240" t="s">
        <v>6</v>
      </c>
      <c r="P95" s="131"/>
      <c r="Q95" s="220" t="s">
        <v>5</v>
      </c>
      <c r="R95" s="132"/>
      <c r="S95" s="79"/>
      <c r="T95" s="79"/>
      <c r="U95" s="79"/>
      <c r="V95" s="79"/>
      <c r="W95" s="48"/>
      <c r="X95" s="48"/>
      <c r="Y95" s="48"/>
      <c r="Z95" s="48"/>
      <c r="AA95" s="75"/>
      <c r="AB95" s="89"/>
      <c r="AC95" s="72"/>
      <c r="AD95" s="72"/>
      <c r="AE95" s="75"/>
      <c r="AF95" s="75"/>
      <c r="AG95" s="48"/>
      <c r="AH95" s="72"/>
      <c r="AI95" s="72"/>
      <c r="AJ95" s="72"/>
      <c r="AK95" s="72"/>
      <c r="AL95" s="72"/>
      <c r="AM95" s="72"/>
      <c r="AN95" s="72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133"/>
      <c r="BY95" s="48"/>
      <c r="BZ95" s="268"/>
      <c r="CA95" s="268"/>
      <c r="CB95" s="268"/>
      <c r="CC95" s="268"/>
      <c r="CD95" s="268"/>
      <c r="CE95" s="268"/>
      <c r="CF95" s="268"/>
      <c r="CG95" s="268"/>
      <c r="CH95" s="268"/>
      <c r="CI95" s="268"/>
      <c r="CJ95" s="268"/>
      <c r="CK95" s="268"/>
      <c r="CL95" s="268"/>
      <c r="CM95" s="268"/>
      <c r="CN95" s="268"/>
      <c r="CO95" s="268"/>
      <c r="CP95" s="268"/>
      <c r="CQ95" s="268"/>
      <c r="CR95" s="268"/>
    </row>
    <row r="96" spans="1:96" s="134" customFormat="1" ht="18" x14ac:dyDescent="0.3">
      <c r="A96" s="268"/>
      <c r="B96" s="233"/>
      <c r="C96" s="377" t="s">
        <v>346</v>
      </c>
      <c r="D96" s="129" t="s">
        <v>341</v>
      </c>
      <c r="E96" s="392" t="s">
        <v>281</v>
      </c>
      <c r="F96" s="392" t="s">
        <v>274</v>
      </c>
      <c r="G96" s="392" t="s">
        <v>274</v>
      </c>
      <c r="H96" s="392" t="s">
        <v>274</v>
      </c>
      <c r="I96" s="392" t="s">
        <v>274</v>
      </c>
      <c r="J96" s="235" t="s">
        <v>5</v>
      </c>
      <c r="K96" s="235" t="s">
        <v>5</v>
      </c>
      <c r="L96" s="235" t="s">
        <v>5</v>
      </c>
      <c r="M96" s="125" t="s">
        <v>6</v>
      </c>
      <c r="N96" s="130" t="s">
        <v>6</v>
      </c>
      <c r="O96" s="240" t="s">
        <v>6</v>
      </c>
      <c r="P96" s="131"/>
      <c r="Q96" s="220" t="s">
        <v>5</v>
      </c>
      <c r="R96" s="132"/>
      <c r="S96" s="79"/>
      <c r="T96" s="79"/>
      <c r="U96" s="79"/>
      <c r="V96" s="79"/>
      <c r="W96" s="48"/>
      <c r="X96" s="48"/>
      <c r="Y96" s="48"/>
      <c r="Z96" s="48"/>
      <c r="AA96" s="75"/>
      <c r="AB96" s="89"/>
      <c r="AC96" s="72"/>
      <c r="AD96" s="72"/>
      <c r="AE96" s="75"/>
      <c r="AF96" s="75"/>
      <c r="AG96" s="48"/>
      <c r="AH96" s="72"/>
      <c r="AI96" s="72"/>
      <c r="AJ96" s="72"/>
      <c r="AK96" s="72"/>
      <c r="AL96" s="72"/>
      <c r="AM96" s="72"/>
      <c r="AN96" s="72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133"/>
      <c r="BY96" s="48"/>
      <c r="BZ96" s="268"/>
      <c r="CA96" s="268"/>
      <c r="CB96" s="268"/>
      <c r="CC96" s="268"/>
      <c r="CD96" s="268"/>
      <c r="CE96" s="268"/>
      <c r="CF96" s="268"/>
      <c r="CG96" s="268"/>
      <c r="CH96" s="268"/>
      <c r="CI96" s="268"/>
      <c r="CJ96" s="268"/>
      <c r="CK96" s="268"/>
      <c r="CL96" s="268"/>
      <c r="CM96" s="268"/>
      <c r="CN96" s="268"/>
      <c r="CO96" s="268"/>
      <c r="CP96" s="268"/>
      <c r="CQ96" s="268"/>
      <c r="CR96" s="268"/>
    </row>
    <row r="97" spans="1:96" s="134" customFormat="1" ht="18" x14ac:dyDescent="0.3">
      <c r="A97" s="268"/>
      <c r="B97" s="233"/>
      <c r="C97" s="377" t="s">
        <v>258</v>
      </c>
      <c r="D97" s="129" t="s">
        <v>168</v>
      </c>
      <c r="E97" s="392" t="s">
        <v>281</v>
      </c>
      <c r="F97" s="392" t="s">
        <v>274</v>
      </c>
      <c r="G97" s="392" t="s">
        <v>274</v>
      </c>
      <c r="H97" s="392" t="s">
        <v>274</v>
      </c>
      <c r="I97" s="392" t="s">
        <v>274</v>
      </c>
      <c r="J97" s="230" t="s">
        <v>5</v>
      </c>
      <c r="K97" s="230" t="s">
        <v>5</v>
      </c>
      <c r="L97" s="230" t="s">
        <v>5</v>
      </c>
      <c r="M97" s="125" t="s">
        <v>6</v>
      </c>
      <c r="N97" s="130" t="s">
        <v>6</v>
      </c>
      <c r="O97" s="240" t="s">
        <v>6</v>
      </c>
      <c r="P97" s="131"/>
      <c r="Q97" s="220" t="s">
        <v>5</v>
      </c>
      <c r="R97" s="132">
        <f t="shared" si="6"/>
        <v>0</v>
      </c>
      <c r="S97" s="79"/>
      <c r="T97" s="79"/>
      <c r="U97" s="79"/>
      <c r="V97" s="79"/>
      <c r="W97" s="48"/>
      <c r="X97" s="48"/>
      <c r="Y97" s="48"/>
      <c r="Z97" s="48"/>
      <c r="AA97" s="75"/>
      <c r="AB97" s="89"/>
      <c r="AC97" s="72"/>
      <c r="AD97" s="72"/>
      <c r="AE97" s="75"/>
      <c r="AF97" s="75"/>
      <c r="AG97" s="48"/>
      <c r="AH97" s="72"/>
      <c r="AI97" s="72"/>
      <c r="AJ97" s="72"/>
      <c r="AK97" s="72"/>
      <c r="AL97" s="72"/>
      <c r="AM97" s="72"/>
      <c r="AN97" s="72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133"/>
      <c r="BY97" s="48"/>
      <c r="BZ97" s="268"/>
      <c r="CA97" s="268"/>
      <c r="CB97" s="268"/>
      <c r="CC97" s="268"/>
      <c r="CD97" s="268"/>
      <c r="CE97" s="268"/>
      <c r="CF97" s="268"/>
      <c r="CG97" s="268"/>
      <c r="CH97" s="268"/>
      <c r="CI97" s="268"/>
      <c r="CJ97" s="268"/>
      <c r="CK97" s="268"/>
      <c r="CL97" s="268"/>
      <c r="CM97" s="268"/>
      <c r="CN97" s="268"/>
      <c r="CO97" s="268"/>
      <c r="CP97" s="268"/>
      <c r="CQ97" s="268"/>
      <c r="CR97" s="268"/>
    </row>
    <row r="98" spans="1:96" s="134" customFormat="1" ht="18" x14ac:dyDescent="0.3">
      <c r="A98" s="268"/>
      <c r="B98" s="233"/>
      <c r="C98" s="377" t="s">
        <v>319</v>
      </c>
      <c r="D98" s="129" t="s">
        <v>180</v>
      </c>
      <c r="E98" s="392" t="s">
        <v>281</v>
      </c>
      <c r="F98" s="392" t="s">
        <v>274</v>
      </c>
      <c r="G98" s="392" t="s">
        <v>274</v>
      </c>
      <c r="H98" s="392" t="s">
        <v>274</v>
      </c>
      <c r="I98" s="392" t="s">
        <v>274</v>
      </c>
      <c r="J98" s="230" t="s">
        <v>5</v>
      </c>
      <c r="K98" s="230" t="s">
        <v>5</v>
      </c>
      <c r="L98" s="230" t="s">
        <v>5</v>
      </c>
      <c r="M98" s="125" t="s">
        <v>6</v>
      </c>
      <c r="N98" s="130" t="s">
        <v>6</v>
      </c>
      <c r="O98" s="240" t="s">
        <v>6</v>
      </c>
      <c r="P98" s="131"/>
      <c r="Q98" s="220" t="s">
        <v>5</v>
      </c>
      <c r="R98" s="132">
        <f t="shared" si="6"/>
        <v>0</v>
      </c>
      <c r="S98" s="79"/>
      <c r="T98" s="79"/>
      <c r="U98" s="79"/>
      <c r="V98" s="79"/>
      <c r="W98" s="48"/>
      <c r="X98" s="48"/>
      <c r="Y98" s="48"/>
      <c r="Z98" s="48"/>
      <c r="AA98" s="75"/>
      <c r="AB98" s="89"/>
      <c r="AC98" s="72"/>
      <c r="AD98" s="72"/>
      <c r="AE98" s="75"/>
      <c r="AF98" s="75"/>
      <c r="AG98" s="48"/>
      <c r="AH98" s="72"/>
      <c r="AI98" s="72"/>
      <c r="AJ98" s="72"/>
      <c r="AK98" s="72"/>
      <c r="AL98" s="72"/>
      <c r="AM98" s="72"/>
      <c r="AN98" s="72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133"/>
      <c r="BY98" s="48"/>
      <c r="BZ98" s="268"/>
      <c r="CA98" s="268"/>
      <c r="CB98" s="268"/>
      <c r="CC98" s="268"/>
      <c r="CD98" s="268"/>
      <c r="CE98" s="268"/>
      <c r="CF98" s="268"/>
      <c r="CG98" s="268"/>
      <c r="CH98" s="268"/>
      <c r="CI98" s="268"/>
      <c r="CJ98" s="268"/>
      <c r="CK98" s="268"/>
      <c r="CL98" s="268"/>
      <c r="CM98" s="268"/>
      <c r="CN98" s="268"/>
      <c r="CO98" s="268"/>
      <c r="CP98" s="268"/>
      <c r="CQ98" s="268"/>
      <c r="CR98" s="268"/>
    </row>
    <row r="99" spans="1:96" s="134" customFormat="1" ht="18" x14ac:dyDescent="0.3">
      <c r="A99" s="268"/>
      <c r="B99" s="233"/>
      <c r="C99" s="128" t="s">
        <v>254</v>
      </c>
      <c r="D99" s="129" t="s">
        <v>180</v>
      </c>
      <c r="E99" s="392" t="s">
        <v>281</v>
      </c>
      <c r="F99" s="392" t="s">
        <v>274</v>
      </c>
      <c r="G99" s="392" t="s">
        <v>274</v>
      </c>
      <c r="H99" s="392" t="s">
        <v>274</v>
      </c>
      <c r="I99" s="392" t="s">
        <v>274</v>
      </c>
      <c r="J99" s="230" t="s">
        <v>5</v>
      </c>
      <c r="K99" s="230" t="s">
        <v>5</v>
      </c>
      <c r="L99" s="230" t="s">
        <v>5</v>
      </c>
      <c r="M99" s="125" t="s">
        <v>6</v>
      </c>
      <c r="N99" s="130" t="s">
        <v>6</v>
      </c>
      <c r="O99" s="240" t="s">
        <v>6</v>
      </c>
      <c r="P99" s="131"/>
      <c r="Q99" s="220" t="s">
        <v>5</v>
      </c>
      <c r="R99" s="132">
        <f t="shared" si="6"/>
        <v>0</v>
      </c>
      <c r="S99" s="79"/>
      <c r="T99" s="79"/>
      <c r="U99" s="79"/>
      <c r="V99" s="79"/>
      <c r="W99" s="48"/>
      <c r="X99" s="48"/>
      <c r="Y99" s="48"/>
      <c r="Z99" s="48"/>
      <c r="AA99" s="75"/>
      <c r="AB99" s="89"/>
      <c r="AC99" s="72"/>
      <c r="AD99" s="72"/>
      <c r="AE99" s="75"/>
      <c r="AF99" s="75"/>
      <c r="AG99" s="48"/>
      <c r="AH99" s="72"/>
      <c r="AI99" s="72"/>
      <c r="AJ99" s="72"/>
      <c r="AK99" s="72"/>
      <c r="AL99" s="72"/>
      <c r="AM99" s="72"/>
      <c r="AN99" s="72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133"/>
      <c r="BY99" s="48"/>
      <c r="BZ99" s="268"/>
      <c r="CA99" s="268"/>
      <c r="CB99" s="268"/>
      <c r="CC99" s="268"/>
      <c r="CD99" s="268"/>
      <c r="CE99" s="268"/>
      <c r="CF99" s="268"/>
      <c r="CG99" s="268"/>
      <c r="CH99" s="268"/>
      <c r="CI99" s="268"/>
      <c r="CJ99" s="268"/>
      <c r="CK99" s="268"/>
      <c r="CL99" s="268"/>
      <c r="CM99" s="268"/>
      <c r="CN99" s="268"/>
      <c r="CO99" s="268"/>
      <c r="CP99" s="268"/>
      <c r="CQ99" s="268"/>
      <c r="CR99" s="268"/>
    </row>
    <row r="100" spans="1:96" s="134" customFormat="1" ht="18" x14ac:dyDescent="0.3">
      <c r="A100" s="268"/>
      <c r="B100" s="233"/>
      <c r="C100" s="128" t="s">
        <v>259</v>
      </c>
      <c r="D100" s="129" t="s">
        <v>180</v>
      </c>
      <c r="E100" s="392" t="s">
        <v>281</v>
      </c>
      <c r="F100" s="392" t="s">
        <v>274</v>
      </c>
      <c r="G100" s="392" t="s">
        <v>274</v>
      </c>
      <c r="H100" s="392" t="s">
        <v>274</v>
      </c>
      <c r="I100" s="392" t="s">
        <v>274</v>
      </c>
      <c r="J100" s="230" t="s">
        <v>5</v>
      </c>
      <c r="K100" s="230" t="s">
        <v>5</v>
      </c>
      <c r="L100" s="230" t="s">
        <v>5</v>
      </c>
      <c r="M100" s="125" t="s">
        <v>6</v>
      </c>
      <c r="N100" s="130" t="s">
        <v>6</v>
      </c>
      <c r="O100" s="240" t="s">
        <v>6</v>
      </c>
      <c r="P100" s="131"/>
      <c r="Q100" s="220" t="s">
        <v>5</v>
      </c>
      <c r="R100" s="132">
        <f t="shared" si="6"/>
        <v>0</v>
      </c>
      <c r="S100" s="79"/>
      <c r="T100" s="79"/>
      <c r="U100" s="79"/>
      <c r="V100" s="79"/>
      <c r="W100" s="48"/>
      <c r="X100" s="48"/>
      <c r="Y100" s="48"/>
      <c r="Z100" s="48"/>
      <c r="AA100" s="75"/>
      <c r="AB100" s="89"/>
      <c r="AC100" s="72"/>
      <c r="AD100" s="72"/>
      <c r="AE100" s="75"/>
      <c r="AF100" s="75"/>
      <c r="AG100" s="48"/>
      <c r="AH100" s="72"/>
      <c r="AI100" s="72"/>
      <c r="AJ100" s="72"/>
      <c r="AK100" s="72"/>
      <c r="AL100" s="72"/>
      <c r="AM100" s="72"/>
      <c r="AN100" s="72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133"/>
      <c r="BY100" s="48"/>
      <c r="BZ100" s="268"/>
      <c r="CA100" s="268"/>
      <c r="CB100" s="268"/>
      <c r="CC100" s="268"/>
      <c r="CD100" s="268"/>
      <c r="CE100" s="268"/>
      <c r="CF100" s="268"/>
      <c r="CG100" s="268"/>
      <c r="CH100" s="268"/>
      <c r="CI100" s="268"/>
      <c r="CJ100" s="268"/>
      <c r="CK100" s="268"/>
      <c r="CL100" s="268"/>
      <c r="CM100" s="268"/>
      <c r="CN100" s="268"/>
      <c r="CO100" s="268"/>
      <c r="CP100" s="268"/>
      <c r="CQ100" s="268"/>
      <c r="CR100" s="268"/>
    </row>
    <row r="101" spans="1:96" s="134" customFormat="1" ht="18" x14ac:dyDescent="0.3">
      <c r="A101" s="268"/>
      <c r="B101" s="233"/>
      <c r="C101" s="128" t="s">
        <v>262</v>
      </c>
      <c r="D101" s="129" t="s">
        <v>180</v>
      </c>
      <c r="E101" s="392" t="s">
        <v>281</v>
      </c>
      <c r="F101" s="392" t="s">
        <v>274</v>
      </c>
      <c r="G101" s="392" t="s">
        <v>274</v>
      </c>
      <c r="H101" s="392" t="s">
        <v>274</v>
      </c>
      <c r="I101" s="392" t="s">
        <v>274</v>
      </c>
      <c r="J101" s="230" t="s">
        <v>5</v>
      </c>
      <c r="K101" s="230" t="s">
        <v>5</v>
      </c>
      <c r="L101" s="230" t="s">
        <v>5</v>
      </c>
      <c r="M101" s="125" t="s">
        <v>6</v>
      </c>
      <c r="N101" s="130" t="s">
        <v>6</v>
      </c>
      <c r="O101" s="240" t="s">
        <v>6</v>
      </c>
      <c r="P101" s="131"/>
      <c r="Q101" s="220" t="s">
        <v>5</v>
      </c>
      <c r="R101" s="132">
        <f t="shared" ref="R101" si="7">AB101</f>
        <v>0</v>
      </c>
      <c r="S101" s="79"/>
      <c r="T101" s="79"/>
      <c r="U101" s="79"/>
      <c r="V101" s="79"/>
      <c r="W101" s="48"/>
      <c r="X101" s="48"/>
      <c r="Y101" s="48"/>
      <c r="Z101" s="48"/>
      <c r="AA101" s="75"/>
      <c r="AB101" s="89"/>
      <c r="AC101" s="72"/>
      <c r="AD101" s="72"/>
      <c r="AE101" s="75"/>
      <c r="AF101" s="75"/>
      <c r="AG101" s="48"/>
      <c r="AH101" s="72"/>
      <c r="AI101" s="72"/>
      <c r="AJ101" s="72"/>
      <c r="AK101" s="72"/>
      <c r="AL101" s="72"/>
      <c r="AM101" s="72"/>
      <c r="AN101" s="72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133"/>
      <c r="BY101" s="48"/>
      <c r="BZ101" s="268"/>
      <c r="CA101" s="268"/>
      <c r="CB101" s="268"/>
      <c r="CC101" s="268"/>
      <c r="CD101" s="268"/>
      <c r="CE101" s="268"/>
      <c r="CF101" s="268"/>
      <c r="CG101" s="268"/>
      <c r="CH101" s="268"/>
      <c r="CI101" s="268"/>
      <c r="CJ101" s="268"/>
      <c r="CK101" s="268"/>
      <c r="CL101" s="268"/>
      <c r="CM101" s="268"/>
      <c r="CN101" s="268"/>
      <c r="CO101" s="268"/>
      <c r="CP101" s="268"/>
      <c r="CQ101" s="268"/>
      <c r="CR101" s="268"/>
    </row>
    <row r="102" spans="1:96" s="134" customFormat="1" ht="18" x14ac:dyDescent="0.3">
      <c r="A102" s="268"/>
      <c r="B102" s="233"/>
      <c r="C102" s="234" t="s">
        <v>261</v>
      </c>
      <c r="D102" s="129" t="s">
        <v>186</v>
      </c>
      <c r="E102" s="392" t="s">
        <v>281</v>
      </c>
      <c r="F102" s="392" t="s">
        <v>274</v>
      </c>
      <c r="G102" s="392" t="s">
        <v>274</v>
      </c>
      <c r="H102" s="392" t="s">
        <v>274</v>
      </c>
      <c r="I102" s="392" t="s">
        <v>274</v>
      </c>
      <c r="J102" s="230" t="s">
        <v>5</v>
      </c>
      <c r="K102" s="230" t="s">
        <v>5</v>
      </c>
      <c r="L102" s="230" t="s">
        <v>5</v>
      </c>
      <c r="M102" s="125" t="s">
        <v>6</v>
      </c>
      <c r="N102" s="130" t="s">
        <v>6</v>
      </c>
      <c r="O102" s="240" t="s">
        <v>6</v>
      </c>
      <c r="P102" s="131"/>
      <c r="Q102" s="220" t="s">
        <v>5</v>
      </c>
      <c r="R102" s="132">
        <f t="shared" si="6"/>
        <v>0</v>
      </c>
      <c r="S102" s="79"/>
      <c r="T102" s="79"/>
      <c r="U102" s="79"/>
      <c r="V102" s="79"/>
      <c r="W102" s="48"/>
      <c r="X102" s="48"/>
      <c r="Y102" s="48"/>
      <c r="Z102" s="48"/>
      <c r="AA102" s="75"/>
      <c r="AB102" s="89"/>
      <c r="AC102" s="72"/>
      <c r="AD102" s="72"/>
      <c r="AE102" s="75"/>
      <c r="AF102" s="75"/>
      <c r="AG102" s="48"/>
      <c r="AH102" s="72"/>
      <c r="AI102" s="72"/>
      <c r="AJ102" s="72"/>
      <c r="AK102" s="72"/>
      <c r="AL102" s="72"/>
      <c r="AM102" s="72"/>
      <c r="AN102" s="72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133"/>
      <c r="BY102" s="48"/>
      <c r="BZ102" s="268"/>
      <c r="CA102" s="268"/>
      <c r="CB102" s="268"/>
      <c r="CC102" s="268"/>
      <c r="CD102" s="268"/>
      <c r="CE102" s="268"/>
      <c r="CF102" s="268"/>
      <c r="CG102" s="268"/>
      <c r="CH102" s="268"/>
      <c r="CI102" s="268"/>
      <c r="CJ102" s="268"/>
      <c r="CK102" s="268"/>
      <c r="CL102" s="268"/>
      <c r="CM102" s="268"/>
      <c r="CN102" s="268"/>
      <c r="CO102" s="268"/>
      <c r="CP102" s="268"/>
      <c r="CQ102" s="268"/>
      <c r="CR102" s="268"/>
    </row>
    <row r="103" spans="1:96" s="97" customFormat="1" ht="18" x14ac:dyDescent="0.25">
      <c r="A103" s="262"/>
      <c r="B103" s="233"/>
      <c r="C103" s="234" t="s">
        <v>303</v>
      </c>
      <c r="D103" s="129" t="s">
        <v>180</v>
      </c>
      <c r="E103" s="392" t="s">
        <v>281</v>
      </c>
      <c r="F103" s="392" t="s">
        <v>274</v>
      </c>
      <c r="G103" s="392" t="s">
        <v>274</v>
      </c>
      <c r="H103" s="392" t="s">
        <v>274</v>
      </c>
      <c r="I103" s="392" t="s">
        <v>274</v>
      </c>
      <c r="J103" s="230" t="s">
        <v>5</v>
      </c>
      <c r="K103" s="230" t="s">
        <v>5</v>
      </c>
      <c r="L103" s="230" t="s">
        <v>5</v>
      </c>
      <c r="M103" s="125" t="s">
        <v>6</v>
      </c>
      <c r="N103" s="130" t="s">
        <v>6</v>
      </c>
      <c r="O103" s="240" t="s">
        <v>6</v>
      </c>
      <c r="P103" s="131"/>
      <c r="Q103" s="218" t="s">
        <v>5</v>
      </c>
      <c r="R103" s="79"/>
      <c r="S103" s="79"/>
      <c r="T103" s="79"/>
      <c r="U103" s="79"/>
      <c r="V103" s="79"/>
      <c r="W103" s="47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118"/>
      <c r="AI103" s="118"/>
      <c r="AJ103" s="118"/>
      <c r="AK103" s="79"/>
      <c r="AL103" s="118"/>
      <c r="AM103" s="118"/>
      <c r="AN103" s="118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89"/>
      <c r="BY103" s="79"/>
      <c r="BZ103" s="262"/>
      <c r="CA103" s="262"/>
      <c r="CB103" s="262"/>
      <c r="CC103" s="262"/>
      <c r="CD103" s="262"/>
      <c r="CE103" s="262"/>
      <c r="CF103" s="262"/>
      <c r="CG103" s="262"/>
      <c r="CH103" s="262"/>
      <c r="CI103" s="262"/>
      <c r="CJ103" s="262"/>
      <c r="CK103" s="262"/>
      <c r="CL103" s="262"/>
      <c r="CM103" s="262"/>
      <c r="CN103" s="262"/>
      <c r="CO103" s="262"/>
      <c r="CP103" s="262"/>
      <c r="CQ103" s="262"/>
      <c r="CR103" s="262"/>
    </row>
    <row r="104" spans="1:96" s="97" customFormat="1" ht="18" x14ac:dyDescent="0.25">
      <c r="A104" s="262"/>
      <c r="B104" s="233"/>
      <c r="C104" s="234" t="s">
        <v>352</v>
      </c>
      <c r="D104" s="129" t="s">
        <v>180</v>
      </c>
      <c r="E104" s="392" t="s">
        <v>281</v>
      </c>
      <c r="F104" s="392" t="s">
        <v>274</v>
      </c>
      <c r="G104" s="392" t="s">
        <v>274</v>
      </c>
      <c r="H104" s="392" t="s">
        <v>274</v>
      </c>
      <c r="I104" s="392" t="s">
        <v>274</v>
      </c>
      <c r="J104" s="230" t="s">
        <v>5</v>
      </c>
      <c r="K104" s="230" t="s">
        <v>5</v>
      </c>
      <c r="L104" s="230" t="s">
        <v>5</v>
      </c>
      <c r="M104" s="125" t="s">
        <v>6</v>
      </c>
      <c r="N104" s="130" t="s">
        <v>6</v>
      </c>
      <c r="O104" s="240" t="s">
        <v>6</v>
      </c>
      <c r="P104" s="131"/>
      <c r="Q104" s="218" t="s">
        <v>5</v>
      </c>
      <c r="R104" s="79"/>
      <c r="S104" s="79"/>
      <c r="T104" s="79"/>
      <c r="U104" s="79"/>
      <c r="V104" s="79"/>
      <c r="W104" s="47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118"/>
      <c r="AI104" s="118"/>
      <c r="AJ104" s="118"/>
      <c r="AK104" s="79"/>
      <c r="AL104" s="118"/>
      <c r="AM104" s="118"/>
      <c r="AN104" s="118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89"/>
      <c r="BY104" s="79"/>
      <c r="BZ104" s="262"/>
      <c r="CA104" s="262"/>
      <c r="CB104" s="262"/>
      <c r="CC104" s="262"/>
      <c r="CD104" s="262"/>
      <c r="CE104" s="262"/>
      <c r="CF104" s="262"/>
      <c r="CG104" s="262"/>
      <c r="CH104" s="262"/>
      <c r="CI104" s="262"/>
      <c r="CJ104" s="262"/>
      <c r="CK104" s="262"/>
      <c r="CL104" s="262"/>
      <c r="CM104" s="262"/>
      <c r="CN104" s="262"/>
      <c r="CO104" s="262"/>
      <c r="CP104" s="262"/>
      <c r="CQ104" s="262"/>
      <c r="CR104" s="262"/>
    </row>
    <row r="105" spans="1:96" s="97" customFormat="1" ht="18" x14ac:dyDescent="0.25">
      <c r="A105" s="262"/>
      <c r="B105" s="233"/>
      <c r="C105" s="234" t="s">
        <v>351</v>
      </c>
      <c r="D105" s="129" t="s">
        <v>180</v>
      </c>
      <c r="E105" s="392" t="s">
        <v>281</v>
      </c>
      <c r="F105" s="392" t="s">
        <v>274</v>
      </c>
      <c r="G105" s="392" t="s">
        <v>274</v>
      </c>
      <c r="H105" s="392" t="s">
        <v>274</v>
      </c>
      <c r="I105" s="392" t="s">
        <v>274</v>
      </c>
      <c r="J105" s="230" t="s">
        <v>5</v>
      </c>
      <c r="K105" s="230" t="s">
        <v>5</v>
      </c>
      <c r="L105" s="230" t="s">
        <v>5</v>
      </c>
      <c r="M105" s="125" t="s">
        <v>6</v>
      </c>
      <c r="N105" s="130" t="s">
        <v>6</v>
      </c>
      <c r="O105" s="240" t="s">
        <v>6</v>
      </c>
      <c r="P105" s="131"/>
      <c r="Q105" s="218" t="s">
        <v>5</v>
      </c>
      <c r="R105" s="79"/>
      <c r="S105" s="79"/>
      <c r="T105" s="79"/>
      <c r="U105" s="79"/>
      <c r="V105" s="79"/>
      <c r="W105" s="47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118"/>
      <c r="AI105" s="118"/>
      <c r="AJ105" s="118"/>
      <c r="AK105" s="79"/>
      <c r="AL105" s="118"/>
      <c r="AM105" s="118"/>
      <c r="AN105" s="118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89"/>
      <c r="BY105" s="79"/>
      <c r="BZ105" s="262"/>
      <c r="CA105" s="262"/>
      <c r="CB105" s="262"/>
      <c r="CC105" s="262"/>
      <c r="CD105" s="262"/>
      <c r="CE105" s="262"/>
      <c r="CF105" s="262"/>
      <c r="CG105" s="262"/>
      <c r="CH105" s="262"/>
      <c r="CI105" s="262"/>
      <c r="CJ105" s="262"/>
      <c r="CK105" s="262"/>
      <c r="CL105" s="262"/>
      <c r="CM105" s="262"/>
      <c r="CN105" s="262"/>
      <c r="CO105" s="262"/>
      <c r="CP105" s="262"/>
      <c r="CQ105" s="262"/>
      <c r="CR105" s="262"/>
    </row>
    <row r="106" spans="1:96" s="97" customFormat="1" thickBot="1" x14ac:dyDescent="0.3">
      <c r="A106" s="262"/>
      <c r="B106" s="236"/>
      <c r="C106" s="136" t="s">
        <v>256</v>
      </c>
      <c r="D106" s="137" t="s">
        <v>184</v>
      </c>
      <c r="E106" s="393" t="s">
        <v>281</v>
      </c>
      <c r="F106" s="393" t="s">
        <v>274</v>
      </c>
      <c r="G106" s="393" t="s">
        <v>274</v>
      </c>
      <c r="H106" s="393" t="s">
        <v>274</v>
      </c>
      <c r="I106" s="393" t="s">
        <v>274</v>
      </c>
      <c r="J106" s="231" t="s">
        <v>5</v>
      </c>
      <c r="K106" s="231" t="s">
        <v>5</v>
      </c>
      <c r="L106" s="231" t="s">
        <v>5</v>
      </c>
      <c r="M106" s="242" t="s">
        <v>6</v>
      </c>
      <c r="N106" s="243" t="s">
        <v>6</v>
      </c>
      <c r="O106" s="244" t="s">
        <v>6</v>
      </c>
      <c r="P106" s="135"/>
      <c r="Q106" s="218" t="s">
        <v>5</v>
      </c>
      <c r="R106" s="79"/>
      <c r="S106" s="79"/>
      <c r="T106" s="79"/>
      <c r="U106" s="79"/>
      <c r="V106" s="79"/>
      <c r="W106" s="47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118"/>
      <c r="AI106" s="118"/>
      <c r="AJ106" s="118"/>
      <c r="AK106" s="79"/>
      <c r="AL106" s="118"/>
      <c r="AM106" s="118"/>
      <c r="AN106" s="118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89"/>
      <c r="BY106" s="79"/>
      <c r="BZ106" s="262"/>
      <c r="CA106" s="262"/>
      <c r="CB106" s="262"/>
      <c r="CC106" s="262"/>
      <c r="CD106" s="262"/>
      <c r="CE106" s="262"/>
      <c r="CF106" s="262"/>
      <c r="CG106" s="262"/>
      <c r="CH106" s="262"/>
      <c r="CI106" s="262"/>
      <c r="CJ106" s="262"/>
      <c r="CK106" s="262"/>
      <c r="CL106" s="262"/>
      <c r="CM106" s="262"/>
      <c r="CN106" s="262"/>
      <c r="CO106" s="262"/>
      <c r="CP106" s="262"/>
      <c r="CQ106" s="262"/>
      <c r="CR106" s="262"/>
    </row>
    <row r="107" spans="1:96" s="1" customFormat="1" thickBot="1" x14ac:dyDescent="0.35">
      <c r="A107" s="269"/>
      <c r="B107" s="413" t="s">
        <v>313</v>
      </c>
      <c r="C107" s="414" t="s">
        <v>304</v>
      </c>
      <c r="D107" s="414"/>
      <c r="E107" s="415">
        <f t="shared" ref="E107:L107" si="8">SUMIF(E$50:E$106,"µ",$N$50:$N$106)</f>
        <v>0</v>
      </c>
      <c r="F107" s="415">
        <f t="shared" si="8"/>
        <v>54.89</v>
      </c>
      <c r="G107" s="415">
        <f t="shared" si="8"/>
        <v>54.900000000000006</v>
      </c>
      <c r="H107" s="415">
        <f t="shared" si="8"/>
        <v>114.85000000000001</v>
      </c>
      <c r="I107" s="415">
        <f t="shared" si="8"/>
        <v>0</v>
      </c>
      <c r="J107" s="415">
        <f t="shared" si="8"/>
        <v>260.49999999999994</v>
      </c>
      <c r="K107" s="415">
        <f t="shared" si="8"/>
        <v>290.49999999999994</v>
      </c>
      <c r="L107" s="416">
        <f t="shared" si="8"/>
        <v>450.09999999999985</v>
      </c>
      <c r="M107" s="417">
        <f>SUM(M50:M106)</f>
        <v>671.95</v>
      </c>
      <c r="N107" s="418">
        <f>SUM(N50:N106)</f>
        <v>691.44000000000028</v>
      </c>
      <c r="O107" s="419">
        <f>SUM(O50:O106)</f>
        <v>117</v>
      </c>
      <c r="P107" s="269"/>
      <c r="Q107" s="221" t="s">
        <v>5</v>
      </c>
      <c r="R107" s="42"/>
      <c r="S107" s="79"/>
      <c r="T107" s="79"/>
      <c r="U107" s="79"/>
      <c r="V107" s="79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3"/>
      <c r="BP107" s="43"/>
      <c r="BQ107" s="41">
        <v>1.984126984126984E-2</v>
      </c>
      <c r="BR107" s="138">
        <f t="shared" ref="BR107" si="9">BQ107/$BQ$175</f>
        <v>3.2051282051282055E-2</v>
      </c>
      <c r="BS107" s="42"/>
      <c r="BT107" s="43"/>
      <c r="BU107" s="43"/>
      <c r="BV107" s="42"/>
      <c r="BW107" s="42"/>
      <c r="BX107" s="44"/>
      <c r="BY107" s="42"/>
      <c r="BZ107" s="269"/>
      <c r="CA107" s="269"/>
      <c r="CB107" s="269"/>
      <c r="CC107" s="269"/>
      <c r="CD107" s="269"/>
      <c r="CE107" s="269"/>
      <c r="CF107" s="269"/>
      <c r="CG107" s="269"/>
      <c r="CH107" s="269"/>
      <c r="CI107" s="269"/>
      <c r="CJ107" s="269"/>
      <c r="CK107" s="269"/>
      <c r="CL107" s="269"/>
      <c r="CM107" s="269"/>
      <c r="CN107" s="269"/>
      <c r="CO107" s="269"/>
      <c r="CP107" s="269"/>
      <c r="CQ107" s="269"/>
      <c r="CR107" s="269"/>
    </row>
    <row r="108" spans="1:96" s="2" customFormat="1" thickBot="1" x14ac:dyDescent="0.35">
      <c r="A108" s="255"/>
      <c r="B108" s="275"/>
      <c r="C108" s="255"/>
      <c r="D108" s="255"/>
      <c r="E108" s="286"/>
      <c r="F108" s="286"/>
      <c r="G108" s="286"/>
      <c r="H108" s="286"/>
      <c r="I108" s="286"/>
      <c r="J108" s="286"/>
      <c r="K108" s="286"/>
      <c r="L108" s="286"/>
      <c r="M108" s="277"/>
      <c r="N108" s="278"/>
      <c r="O108" s="279"/>
      <c r="P108" s="288"/>
      <c r="Q108" s="218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255"/>
      <c r="CA108" s="255"/>
      <c r="CB108" s="255"/>
      <c r="CC108" s="255"/>
      <c r="CD108" s="255"/>
      <c r="CE108" s="255"/>
      <c r="CF108" s="255"/>
      <c r="CG108" s="255"/>
      <c r="CH108" s="255"/>
      <c r="CI108" s="255"/>
      <c r="CJ108" s="255"/>
      <c r="CK108" s="255"/>
      <c r="CL108" s="255"/>
      <c r="CM108" s="255"/>
      <c r="CN108" s="255"/>
      <c r="CO108" s="255"/>
      <c r="CP108" s="255"/>
      <c r="CQ108" s="255"/>
      <c r="CR108" s="255"/>
    </row>
    <row r="109" spans="1:96" s="97" customFormat="1" ht="45" x14ac:dyDescent="0.25">
      <c r="A109" s="262"/>
      <c r="B109" s="323" t="s">
        <v>289</v>
      </c>
      <c r="C109" s="404" t="s">
        <v>288</v>
      </c>
      <c r="D109" s="405" t="s">
        <v>3</v>
      </c>
      <c r="E109" s="373" t="s">
        <v>16</v>
      </c>
      <c r="F109" s="373" t="str">
        <f t="shared" ref="F109:L109" si="10">F11</f>
        <v>Einsteiger</v>
      </c>
      <c r="G109" s="373" t="str">
        <f t="shared" si="10"/>
        <v>Adeptus Minor</v>
      </c>
      <c r="H109" s="374" t="str">
        <f t="shared" si="10"/>
        <v>Adeptus Maior</v>
      </c>
      <c r="I109" s="373" t="str">
        <f t="shared" si="10"/>
        <v>Magus</v>
      </c>
      <c r="J109" s="375" t="str">
        <f t="shared" si="10"/>
        <v>Magus Maximus</v>
      </c>
      <c r="K109" s="375" t="str">
        <f t="shared" si="10"/>
        <v>Erzmagus</v>
      </c>
      <c r="L109" s="375" t="str">
        <f t="shared" si="10"/>
        <v>Dracomagus</v>
      </c>
      <c r="M109" s="324" t="s">
        <v>15</v>
      </c>
      <c r="N109" s="325" t="s">
        <v>244</v>
      </c>
      <c r="O109" s="326" t="s">
        <v>193</v>
      </c>
      <c r="P109" s="409" t="s">
        <v>101</v>
      </c>
      <c r="Q109" s="219" t="s">
        <v>14</v>
      </c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118"/>
      <c r="AI109" s="118"/>
      <c r="AJ109" s="118"/>
      <c r="AK109" s="79"/>
      <c r="AL109" s="118"/>
      <c r="AM109" s="118"/>
      <c r="AN109" s="118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89"/>
      <c r="BY109" s="79"/>
      <c r="BZ109" s="262"/>
      <c r="CA109" s="262"/>
      <c r="CB109" s="262"/>
      <c r="CC109" s="262"/>
      <c r="CD109" s="262"/>
      <c r="CE109" s="262"/>
      <c r="CF109" s="262"/>
      <c r="CG109" s="262"/>
      <c r="CH109" s="262"/>
      <c r="CI109" s="262"/>
      <c r="CJ109" s="262"/>
      <c r="CK109" s="262"/>
      <c r="CL109" s="262"/>
      <c r="CM109" s="262"/>
      <c r="CN109" s="262"/>
      <c r="CO109" s="262"/>
      <c r="CP109" s="262"/>
      <c r="CQ109" s="262"/>
      <c r="CR109" s="262"/>
    </row>
    <row r="110" spans="1:96" s="112" customFormat="1" ht="18" collapsed="1" x14ac:dyDescent="0.25">
      <c r="A110" s="267"/>
      <c r="B110" s="421"/>
      <c r="C110" s="327" t="s">
        <v>330</v>
      </c>
      <c r="D110" s="423" t="s">
        <v>6</v>
      </c>
      <c r="E110" s="430"/>
      <c r="F110" s="430"/>
      <c r="G110" s="431"/>
      <c r="H110" s="431"/>
      <c r="I110" s="431"/>
      <c r="J110" s="431"/>
      <c r="K110" s="431"/>
      <c r="L110" s="431"/>
      <c r="M110" s="432">
        <v>100</v>
      </c>
      <c r="N110" s="434">
        <v>100</v>
      </c>
      <c r="O110" s="433" t="s">
        <v>6</v>
      </c>
      <c r="P110" s="429" t="s">
        <v>331</v>
      </c>
      <c r="Q110" s="218" t="s">
        <v>5</v>
      </c>
      <c r="R110" s="115">
        <f>N48/2</f>
        <v>0</v>
      </c>
      <c r="S110" s="115">
        <f>SUM(N110:N122)</f>
        <v>233.88000000000008</v>
      </c>
      <c r="T110" s="79"/>
      <c r="U110" s="79"/>
      <c r="V110" s="79"/>
      <c r="W110" s="100"/>
      <c r="X110" s="100"/>
      <c r="Y110" s="100"/>
      <c r="Z110" s="100"/>
      <c r="AA110" s="75"/>
      <c r="AB110" s="75"/>
      <c r="AC110" s="75"/>
      <c r="AD110" s="75"/>
      <c r="AE110" s="75"/>
      <c r="AF110" s="79"/>
      <c r="AG110" s="79"/>
      <c r="AH110" s="118"/>
      <c r="AI110" s="118"/>
      <c r="AJ110" s="118"/>
      <c r="AK110" s="100"/>
      <c r="AL110" s="100"/>
      <c r="AM110" s="100"/>
      <c r="AN110" s="100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11"/>
      <c r="BY110" s="100"/>
      <c r="BZ110" s="267"/>
      <c r="CA110" s="267"/>
      <c r="CB110" s="267"/>
      <c r="CC110" s="267"/>
      <c r="CD110" s="267"/>
      <c r="CE110" s="267"/>
      <c r="CF110" s="267"/>
      <c r="CG110" s="267"/>
      <c r="CH110" s="267"/>
      <c r="CI110" s="267"/>
      <c r="CJ110" s="267"/>
      <c r="CK110" s="267"/>
      <c r="CL110" s="267"/>
      <c r="CM110" s="267"/>
      <c r="CN110" s="267"/>
      <c r="CO110" s="267"/>
      <c r="CP110" s="267"/>
      <c r="CQ110" s="267"/>
      <c r="CR110" s="267"/>
    </row>
    <row r="111" spans="1:96" s="112" customFormat="1" ht="18" collapsed="1" x14ac:dyDescent="0.25">
      <c r="A111" s="267"/>
      <c r="B111" s="232"/>
      <c r="C111" s="106" t="s">
        <v>203</v>
      </c>
      <c r="D111" s="107" t="s">
        <v>151</v>
      </c>
      <c r="E111" s="392" t="s">
        <v>281</v>
      </c>
      <c r="F111" s="392" t="str">
        <f>IF(OR($B50="x",$B51="x"),"enthalten","Kauf nach CF")</f>
        <v>Kauf nach CF</v>
      </c>
      <c r="G111" s="230" t="s">
        <v>5</v>
      </c>
      <c r="H111" s="230" t="s">
        <v>5</v>
      </c>
      <c r="I111" s="230" t="s">
        <v>5</v>
      </c>
      <c r="J111" s="230" t="s">
        <v>5</v>
      </c>
      <c r="K111" s="230" t="s">
        <v>5</v>
      </c>
      <c r="L111" s="230" t="s">
        <v>5</v>
      </c>
      <c r="M111" s="125" t="s">
        <v>6</v>
      </c>
      <c r="N111" s="370">
        <v>19.989999999999998</v>
      </c>
      <c r="O111" s="240" t="s">
        <v>6</v>
      </c>
      <c r="P111" s="372" t="s">
        <v>7</v>
      </c>
      <c r="Q111" s="218" t="s">
        <v>5</v>
      </c>
      <c r="R111" s="115">
        <f>N50/2</f>
        <v>22.475000000000001</v>
      </c>
      <c r="S111" s="115">
        <f>SUM(N111:N123)</f>
        <v>142.86999999999998</v>
      </c>
      <c r="T111" s="79"/>
      <c r="U111" s="79"/>
      <c r="V111" s="79"/>
      <c r="W111" s="100"/>
      <c r="X111" s="100"/>
      <c r="Y111" s="100"/>
      <c r="Z111" s="100"/>
      <c r="AA111" s="75"/>
      <c r="AB111" s="75"/>
      <c r="AC111" s="75"/>
      <c r="AD111" s="75"/>
      <c r="AE111" s="75"/>
      <c r="AF111" s="79"/>
      <c r="AG111" s="79"/>
      <c r="AH111" s="118"/>
      <c r="AI111" s="118"/>
      <c r="AJ111" s="118"/>
      <c r="AK111" s="100"/>
      <c r="AL111" s="100"/>
      <c r="AM111" s="100"/>
      <c r="AN111" s="100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11"/>
      <c r="BY111" s="100"/>
      <c r="BZ111" s="267"/>
      <c r="CA111" s="267"/>
      <c r="CB111" s="267"/>
      <c r="CC111" s="267"/>
      <c r="CD111" s="267"/>
      <c r="CE111" s="267"/>
      <c r="CF111" s="267"/>
      <c r="CG111" s="267"/>
      <c r="CH111" s="267"/>
      <c r="CI111" s="267"/>
      <c r="CJ111" s="267"/>
      <c r="CK111" s="267"/>
      <c r="CL111" s="267"/>
      <c r="CM111" s="267"/>
      <c r="CN111" s="267"/>
      <c r="CO111" s="267"/>
      <c r="CP111" s="267"/>
      <c r="CQ111" s="267"/>
      <c r="CR111" s="267"/>
    </row>
    <row r="112" spans="1:96" ht="18" x14ac:dyDescent="0.25">
      <c r="B112" s="232"/>
      <c r="C112" s="106" t="s">
        <v>229</v>
      </c>
      <c r="D112" s="107" t="s">
        <v>151</v>
      </c>
      <c r="E112" s="392" t="s">
        <v>281</v>
      </c>
      <c r="F112" s="392" t="str">
        <f>IF($B52="x","enthalten","Kauf nach CF")</f>
        <v>Kauf nach CF</v>
      </c>
      <c r="G112" s="392" t="str">
        <f>IF($B52="x","enthalten","Kauf nach CF")</f>
        <v>Kauf nach CF</v>
      </c>
      <c r="H112" s="230" t="s">
        <v>5</v>
      </c>
      <c r="I112" s="230" t="s">
        <v>5</v>
      </c>
      <c r="J112" s="230" t="s">
        <v>5</v>
      </c>
      <c r="K112" s="230" t="s">
        <v>5</v>
      </c>
      <c r="L112" s="230" t="s">
        <v>5</v>
      </c>
      <c r="M112" s="125" t="s">
        <v>6</v>
      </c>
      <c r="N112" s="371">
        <v>29.99</v>
      </c>
      <c r="O112" s="240" t="s">
        <v>6</v>
      </c>
      <c r="P112" s="372" t="s">
        <v>7</v>
      </c>
      <c r="Q112" s="218" t="s">
        <v>5</v>
      </c>
      <c r="R112" s="115">
        <f t="shared" ref="R112:R121" si="11">N52/2</f>
        <v>29.975000000000001</v>
      </c>
      <c r="S112" s="79"/>
      <c r="T112" s="79"/>
      <c r="U112" s="79"/>
      <c r="V112" s="79"/>
      <c r="AA112" s="75"/>
      <c r="AB112" s="75"/>
      <c r="AC112" s="75"/>
      <c r="AD112" s="75"/>
      <c r="AF112" s="79"/>
      <c r="AG112" s="79"/>
      <c r="AH112" s="118"/>
      <c r="AI112" s="118"/>
      <c r="AJ112" s="118"/>
      <c r="AK112" s="75"/>
      <c r="AL112" s="100"/>
      <c r="BI112" s="47"/>
      <c r="BJ112" s="47"/>
      <c r="BM112" s="47"/>
      <c r="BN112" s="47"/>
      <c r="BQ112" s="47"/>
      <c r="BR112" s="47"/>
      <c r="BV112" s="47"/>
      <c r="BW112" s="47"/>
    </row>
    <row r="113" spans="1:96" ht="18" x14ac:dyDescent="0.25">
      <c r="B113" s="232"/>
      <c r="C113" s="106" t="s">
        <v>205</v>
      </c>
      <c r="D113" s="107" t="s">
        <v>151</v>
      </c>
      <c r="E113" s="392" t="s">
        <v>281</v>
      </c>
      <c r="F113" s="392" t="str">
        <f>IF($B53="x","enthalten","Kauf nach CF")</f>
        <v>Kauf nach CF</v>
      </c>
      <c r="G113" s="392" t="str">
        <f>IF($B53="x","enthalten","Kauf nach CF")</f>
        <v>Kauf nach CF</v>
      </c>
      <c r="H113" s="392" t="str">
        <f>IF($B53="x","enthalten","Kauf nach CF")</f>
        <v>Kauf nach CF</v>
      </c>
      <c r="I113" s="230" t="s">
        <v>5</v>
      </c>
      <c r="J113" s="230" t="s">
        <v>5</v>
      </c>
      <c r="K113" s="230" t="s">
        <v>5</v>
      </c>
      <c r="L113" s="230" t="s">
        <v>5</v>
      </c>
      <c r="M113" s="125" t="s">
        <v>6</v>
      </c>
      <c r="N113" s="371">
        <v>6.99</v>
      </c>
      <c r="O113" s="240" t="s">
        <v>6</v>
      </c>
      <c r="P113" s="372" t="s">
        <v>7</v>
      </c>
      <c r="Q113" s="218" t="s">
        <v>5</v>
      </c>
      <c r="R113" s="115">
        <f t="shared" si="11"/>
        <v>7.4749999999999996</v>
      </c>
      <c r="S113" s="79"/>
      <c r="T113" s="79"/>
      <c r="U113" s="79"/>
      <c r="V113" s="79"/>
      <c r="AA113" s="75"/>
      <c r="AB113" s="75"/>
      <c r="AC113" s="75"/>
      <c r="AD113" s="75"/>
      <c r="AF113" s="79"/>
      <c r="AG113" s="79"/>
      <c r="AH113" s="118"/>
      <c r="AI113" s="118"/>
      <c r="AJ113" s="118"/>
      <c r="AK113" s="75"/>
      <c r="AL113" s="100"/>
      <c r="BI113" s="47"/>
      <c r="BJ113" s="47"/>
      <c r="BM113" s="47"/>
      <c r="BN113" s="47"/>
      <c r="BQ113" s="47"/>
      <c r="BR113" s="47"/>
      <c r="BV113" s="47"/>
      <c r="BW113" s="47"/>
    </row>
    <row r="114" spans="1:96" ht="18" x14ac:dyDescent="0.25">
      <c r="B114" s="232"/>
      <c r="C114" s="106" t="s">
        <v>327</v>
      </c>
      <c r="D114" s="107" t="s">
        <v>151</v>
      </c>
      <c r="E114" s="392" t="s">
        <v>281</v>
      </c>
      <c r="F114" s="392" t="str">
        <f t="shared" ref="F114:F121" si="12">IF($B54="x","enthalten","Kauf nach CF")</f>
        <v>Kauf nach CF</v>
      </c>
      <c r="G114" s="230" t="s">
        <v>5</v>
      </c>
      <c r="H114" s="230" t="s">
        <v>5</v>
      </c>
      <c r="I114" s="230" t="s">
        <v>5</v>
      </c>
      <c r="J114" s="230" t="s">
        <v>5</v>
      </c>
      <c r="K114" s="230" t="s">
        <v>5</v>
      </c>
      <c r="L114" s="230" t="s">
        <v>5</v>
      </c>
      <c r="M114" s="125" t="s">
        <v>6</v>
      </c>
      <c r="N114" s="371">
        <v>6.99</v>
      </c>
      <c r="O114" s="240" t="s">
        <v>6</v>
      </c>
      <c r="P114" s="372" t="s">
        <v>7</v>
      </c>
      <c r="Q114" s="218" t="s">
        <v>5</v>
      </c>
      <c r="R114" s="115">
        <f t="shared" si="11"/>
        <v>7.4749999999999996</v>
      </c>
      <c r="S114" s="79"/>
      <c r="T114" s="79"/>
      <c r="U114" s="79"/>
      <c r="V114" s="79"/>
      <c r="AA114" s="75"/>
      <c r="AB114" s="75"/>
      <c r="AC114" s="75"/>
      <c r="AD114" s="75"/>
      <c r="AF114" s="79"/>
      <c r="AG114" s="79"/>
      <c r="AH114" s="118"/>
      <c r="AI114" s="118"/>
      <c r="AJ114" s="118"/>
      <c r="AK114" s="75"/>
      <c r="AL114" s="100"/>
      <c r="BI114" s="47"/>
      <c r="BJ114" s="47"/>
      <c r="BM114" s="47"/>
      <c r="BN114" s="47"/>
      <c r="BQ114" s="47"/>
      <c r="BR114" s="47"/>
      <c r="BV114" s="47"/>
      <c r="BW114" s="47"/>
    </row>
    <row r="115" spans="1:96" ht="18" x14ac:dyDescent="0.25">
      <c r="B115" s="232"/>
      <c r="C115" s="106" t="s">
        <v>206</v>
      </c>
      <c r="D115" s="107" t="s">
        <v>151</v>
      </c>
      <c r="E115" s="392" t="s">
        <v>281</v>
      </c>
      <c r="F115" s="392" t="str">
        <f t="shared" si="12"/>
        <v>Kauf nach CF</v>
      </c>
      <c r="G115" s="392" t="str">
        <f t="shared" ref="G115:H121" si="13">IF($B55="x","enthalten","Kauf nach CF")</f>
        <v>Kauf nach CF</v>
      </c>
      <c r="H115" s="392" t="str">
        <f t="shared" si="13"/>
        <v>Kauf nach CF</v>
      </c>
      <c r="I115" s="230" t="s">
        <v>5</v>
      </c>
      <c r="J115" s="230" t="s">
        <v>5</v>
      </c>
      <c r="K115" s="230" t="s">
        <v>5</v>
      </c>
      <c r="L115" s="230" t="s">
        <v>5</v>
      </c>
      <c r="M115" s="125" t="s">
        <v>6</v>
      </c>
      <c r="N115" s="371">
        <v>8.99</v>
      </c>
      <c r="O115" s="240" t="s">
        <v>6</v>
      </c>
      <c r="P115" s="372" t="s">
        <v>7</v>
      </c>
      <c r="Q115" s="218" t="s">
        <v>5</v>
      </c>
      <c r="R115" s="115">
        <f t="shared" si="11"/>
        <v>8.9749999999999996</v>
      </c>
      <c r="S115" s="79"/>
      <c r="T115" s="79"/>
      <c r="U115" s="79"/>
      <c r="V115" s="79"/>
      <c r="AA115" s="75"/>
      <c r="AB115" s="75"/>
      <c r="AC115" s="75"/>
      <c r="AD115" s="75"/>
      <c r="AF115" s="79"/>
      <c r="AG115" s="79"/>
      <c r="AH115" s="118"/>
      <c r="AI115" s="118"/>
      <c r="AJ115" s="118"/>
      <c r="AK115" s="75"/>
      <c r="AL115" s="100"/>
      <c r="BI115" s="47"/>
      <c r="BJ115" s="47"/>
      <c r="BM115" s="47"/>
      <c r="BN115" s="47"/>
      <c r="BQ115" s="47"/>
      <c r="BR115" s="47"/>
      <c r="BV115" s="47"/>
      <c r="BW115" s="47"/>
    </row>
    <row r="116" spans="1:96" s="112" customFormat="1" ht="18" x14ac:dyDescent="0.25">
      <c r="A116" s="267"/>
      <c r="B116" s="232"/>
      <c r="C116" s="106" t="s">
        <v>207</v>
      </c>
      <c r="D116" s="107" t="s">
        <v>151</v>
      </c>
      <c r="E116" s="392" t="s">
        <v>281</v>
      </c>
      <c r="F116" s="392" t="str">
        <f t="shared" si="12"/>
        <v>Kauf nach CF</v>
      </c>
      <c r="G116" s="392" t="str">
        <f t="shared" si="13"/>
        <v>Kauf nach CF</v>
      </c>
      <c r="H116" s="392" t="str">
        <f t="shared" si="13"/>
        <v>Kauf nach CF</v>
      </c>
      <c r="I116" s="230" t="s">
        <v>5</v>
      </c>
      <c r="J116" s="230" t="s">
        <v>5</v>
      </c>
      <c r="K116" s="230" t="s">
        <v>5</v>
      </c>
      <c r="L116" s="230" t="s">
        <v>5</v>
      </c>
      <c r="M116" s="125" t="s">
        <v>6</v>
      </c>
      <c r="N116" s="370">
        <v>8.99</v>
      </c>
      <c r="O116" s="240" t="s">
        <v>6</v>
      </c>
      <c r="P116" s="372" t="s">
        <v>7</v>
      </c>
      <c r="Q116" s="218" t="s">
        <v>5</v>
      </c>
      <c r="R116" s="115">
        <f t="shared" si="11"/>
        <v>8.9749999999999996</v>
      </c>
      <c r="S116" s="79"/>
      <c r="T116" s="79"/>
      <c r="U116" s="79"/>
      <c r="V116" s="79"/>
      <c r="W116" s="102"/>
      <c r="X116" s="100"/>
      <c r="Y116" s="100"/>
      <c r="Z116" s="79"/>
      <c r="AA116" s="75"/>
      <c r="AB116" s="115"/>
      <c r="AC116" s="75"/>
      <c r="AD116" s="75"/>
      <c r="AE116" s="75"/>
      <c r="AF116" s="79"/>
      <c r="AG116" s="79"/>
      <c r="AH116" s="118"/>
      <c r="AI116" s="118"/>
      <c r="AJ116" s="118"/>
      <c r="AK116" s="100"/>
      <c r="AL116" s="100"/>
      <c r="AM116" s="100"/>
      <c r="AN116" s="100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11"/>
      <c r="BY116" s="100"/>
      <c r="BZ116" s="267"/>
      <c r="CA116" s="267"/>
      <c r="CB116" s="267"/>
      <c r="CC116" s="267"/>
      <c r="CD116" s="267"/>
      <c r="CE116" s="267"/>
      <c r="CF116" s="267"/>
      <c r="CG116" s="267"/>
      <c r="CH116" s="267"/>
      <c r="CI116" s="267"/>
      <c r="CJ116" s="267"/>
      <c r="CK116" s="267"/>
      <c r="CL116" s="267"/>
      <c r="CM116" s="267"/>
      <c r="CN116" s="267"/>
      <c r="CO116" s="267"/>
      <c r="CP116" s="267"/>
      <c r="CQ116" s="267"/>
      <c r="CR116" s="267"/>
    </row>
    <row r="117" spans="1:96" s="112" customFormat="1" ht="18" x14ac:dyDescent="0.25">
      <c r="A117" s="267"/>
      <c r="B117" s="232"/>
      <c r="C117" s="106" t="s">
        <v>208</v>
      </c>
      <c r="D117" s="107" t="s">
        <v>151</v>
      </c>
      <c r="E117" s="392" t="s">
        <v>281</v>
      </c>
      <c r="F117" s="392" t="str">
        <f t="shared" si="12"/>
        <v>Kauf nach CF</v>
      </c>
      <c r="G117" s="392" t="str">
        <f t="shared" si="13"/>
        <v>Kauf nach CF</v>
      </c>
      <c r="H117" s="392" t="str">
        <f t="shared" si="13"/>
        <v>Kauf nach CF</v>
      </c>
      <c r="I117" s="230" t="s">
        <v>5</v>
      </c>
      <c r="J117" s="230" t="s">
        <v>5</v>
      </c>
      <c r="K117" s="230" t="s">
        <v>5</v>
      </c>
      <c r="L117" s="230" t="s">
        <v>5</v>
      </c>
      <c r="M117" s="125" t="s">
        <v>6</v>
      </c>
      <c r="N117" s="370">
        <v>14.99</v>
      </c>
      <c r="O117" s="240" t="s">
        <v>6</v>
      </c>
      <c r="P117" s="372" t="s">
        <v>7</v>
      </c>
      <c r="Q117" s="218" t="s">
        <v>5</v>
      </c>
      <c r="R117" s="115">
        <f t="shared" si="11"/>
        <v>14.975</v>
      </c>
      <c r="S117" s="79"/>
      <c r="T117" s="79"/>
      <c r="U117" s="79"/>
      <c r="V117" s="79"/>
      <c r="W117" s="102"/>
      <c r="X117" s="100"/>
      <c r="Y117" s="100"/>
      <c r="Z117" s="79"/>
      <c r="AA117" s="75"/>
      <c r="AB117" s="115"/>
      <c r="AC117" s="75"/>
      <c r="AD117" s="75"/>
      <c r="AE117" s="75"/>
      <c r="AF117" s="79"/>
      <c r="AG117" s="79"/>
      <c r="AH117" s="118"/>
      <c r="AI117" s="118"/>
      <c r="AJ117" s="118"/>
      <c r="AK117" s="100"/>
      <c r="AL117" s="100"/>
      <c r="AM117" s="100"/>
      <c r="AN117" s="100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11"/>
      <c r="BY117" s="100"/>
      <c r="BZ117" s="267"/>
      <c r="CA117" s="267"/>
      <c r="CB117" s="267"/>
      <c r="CC117" s="267"/>
      <c r="CD117" s="267"/>
      <c r="CE117" s="267"/>
      <c r="CF117" s="267"/>
      <c r="CG117" s="267"/>
      <c r="CH117" s="267"/>
      <c r="CI117" s="267"/>
      <c r="CJ117" s="267"/>
      <c r="CK117" s="267"/>
      <c r="CL117" s="267"/>
      <c r="CM117" s="267"/>
      <c r="CN117" s="267"/>
      <c r="CO117" s="267"/>
      <c r="CP117" s="267"/>
      <c r="CQ117" s="267"/>
      <c r="CR117" s="267"/>
    </row>
    <row r="118" spans="1:96" s="112" customFormat="1" ht="18" x14ac:dyDescent="0.25">
      <c r="A118" s="267"/>
      <c r="B118" s="232"/>
      <c r="C118" s="106" t="s">
        <v>293</v>
      </c>
      <c r="D118" s="107" t="s">
        <v>151</v>
      </c>
      <c r="E118" s="392" t="s">
        <v>281</v>
      </c>
      <c r="F118" s="392" t="str">
        <f t="shared" si="12"/>
        <v>Kauf nach CF</v>
      </c>
      <c r="G118" s="392" t="str">
        <f t="shared" si="13"/>
        <v>Kauf nach CF</v>
      </c>
      <c r="H118" s="392" t="str">
        <f t="shared" si="13"/>
        <v>Kauf nach CF</v>
      </c>
      <c r="I118" s="230" t="s">
        <v>5</v>
      </c>
      <c r="J118" s="230" t="s">
        <v>5</v>
      </c>
      <c r="K118" s="230" t="s">
        <v>5</v>
      </c>
      <c r="L118" s="230" t="s">
        <v>5</v>
      </c>
      <c r="M118" s="125" t="s">
        <v>6</v>
      </c>
      <c r="N118" s="371">
        <v>2.99</v>
      </c>
      <c r="O118" s="240" t="s">
        <v>6</v>
      </c>
      <c r="P118" s="372" t="s">
        <v>7</v>
      </c>
      <c r="Q118" s="218" t="s">
        <v>5</v>
      </c>
      <c r="R118" s="115">
        <f t="shared" si="11"/>
        <v>7.4749999999999996</v>
      </c>
      <c r="S118" s="79"/>
      <c r="T118" s="79"/>
      <c r="U118" s="79"/>
      <c r="V118" s="79"/>
      <c r="W118" s="100"/>
      <c r="X118" s="100"/>
      <c r="Y118" s="100"/>
      <c r="Z118" s="79"/>
      <c r="AA118" s="75"/>
      <c r="AB118" s="89"/>
      <c r="AC118" s="75"/>
      <c r="AD118" s="75"/>
      <c r="AE118" s="75"/>
      <c r="AF118" s="79"/>
      <c r="AG118" s="79"/>
      <c r="AH118" s="118"/>
      <c r="AI118" s="118"/>
      <c r="AJ118" s="118"/>
      <c r="AK118" s="100"/>
      <c r="AL118" s="100"/>
      <c r="AM118" s="100"/>
      <c r="AN118" s="100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11"/>
      <c r="BY118" s="100"/>
      <c r="BZ118" s="267"/>
      <c r="CA118" s="267"/>
      <c r="CB118" s="267"/>
      <c r="CC118" s="267"/>
      <c r="CD118" s="267"/>
      <c r="CE118" s="267"/>
      <c r="CF118" s="267"/>
      <c r="CG118" s="267"/>
      <c r="CH118" s="267"/>
      <c r="CI118" s="267"/>
      <c r="CJ118" s="267"/>
      <c r="CK118" s="267"/>
      <c r="CL118" s="267"/>
      <c r="CM118" s="267"/>
      <c r="CN118" s="267"/>
      <c r="CO118" s="267"/>
      <c r="CP118" s="267"/>
      <c r="CQ118" s="267"/>
      <c r="CR118" s="267"/>
    </row>
    <row r="119" spans="1:96" ht="18" x14ac:dyDescent="0.25">
      <c r="B119" s="232"/>
      <c r="C119" s="106" t="s">
        <v>209</v>
      </c>
      <c r="D119" s="107" t="s">
        <v>115</v>
      </c>
      <c r="E119" s="392" t="s">
        <v>281</v>
      </c>
      <c r="F119" s="392" t="str">
        <f t="shared" si="12"/>
        <v>Kauf nach CF</v>
      </c>
      <c r="G119" s="392" t="str">
        <f t="shared" si="13"/>
        <v>Kauf nach CF</v>
      </c>
      <c r="H119" s="392" t="str">
        <f t="shared" si="13"/>
        <v>Kauf nach CF</v>
      </c>
      <c r="I119" s="230" t="s">
        <v>5</v>
      </c>
      <c r="J119" s="230" t="s">
        <v>5</v>
      </c>
      <c r="K119" s="230" t="s">
        <v>5</v>
      </c>
      <c r="L119" s="230" t="s">
        <v>5</v>
      </c>
      <c r="M119" s="125" t="s">
        <v>6</v>
      </c>
      <c r="N119" s="371">
        <v>9.99</v>
      </c>
      <c r="O119" s="240" t="s">
        <v>6</v>
      </c>
      <c r="P119" s="372" t="s">
        <v>7</v>
      </c>
      <c r="Q119" s="218" t="s">
        <v>5</v>
      </c>
      <c r="R119" s="115">
        <f t="shared" si="11"/>
        <v>9.9749999999999996</v>
      </c>
      <c r="S119" s="79"/>
      <c r="T119" s="79"/>
      <c r="U119" s="79"/>
      <c r="V119" s="79"/>
      <c r="Z119" s="118"/>
      <c r="AA119" s="119"/>
      <c r="AB119" s="89"/>
      <c r="AC119" s="67"/>
      <c r="AD119" s="67"/>
      <c r="AE119" s="75"/>
      <c r="AF119" s="75"/>
      <c r="AK119" s="67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I119" s="47"/>
      <c r="BJ119" s="47"/>
      <c r="BM119" s="47"/>
      <c r="BN119" s="47"/>
      <c r="BQ119" s="47"/>
      <c r="BR119" s="47"/>
      <c r="BV119" s="47"/>
      <c r="BW119" s="47"/>
    </row>
    <row r="120" spans="1:96" s="112" customFormat="1" ht="18" x14ac:dyDescent="0.25">
      <c r="A120" s="267"/>
      <c r="B120" s="232"/>
      <c r="C120" s="106" t="s">
        <v>210</v>
      </c>
      <c r="D120" s="107" t="s">
        <v>151</v>
      </c>
      <c r="E120" s="392" t="s">
        <v>281</v>
      </c>
      <c r="F120" s="392" t="str">
        <f t="shared" si="12"/>
        <v>Kauf nach CF</v>
      </c>
      <c r="G120" s="392" t="str">
        <f t="shared" si="13"/>
        <v>Kauf nach CF</v>
      </c>
      <c r="H120" s="392" t="str">
        <f t="shared" si="13"/>
        <v>Kauf nach CF</v>
      </c>
      <c r="I120" s="230" t="s">
        <v>5</v>
      </c>
      <c r="J120" s="392" t="str">
        <f>IF($B60="x","enthalten","Kauf nach CF")</f>
        <v>Kauf nach CF</v>
      </c>
      <c r="K120" s="392" t="str">
        <f>IF($B60="x","enthalten","Kauf nach CF")</f>
        <v>Kauf nach CF</v>
      </c>
      <c r="L120" s="230" t="s">
        <v>5</v>
      </c>
      <c r="M120" s="125" t="s">
        <v>6</v>
      </c>
      <c r="N120" s="370">
        <v>8.99</v>
      </c>
      <c r="O120" s="240" t="s">
        <v>6</v>
      </c>
      <c r="P120" s="372" t="s">
        <v>7</v>
      </c>
      <c r="Q120" s="218" t="s">
        <v>5</v>
      </c>
      <c r="R120" s="115">
        <f t="shared" si="11"/>
        <v>8.9749999999999996</v>
      </c>
      <c r="S120" s="79"/>
      <c r="T120" s="79"/>
      <c r="U120" s="79"/>
      <c r="V120" s="79"/>
      <c r="W120" s="100"/>
      <c r="X120" s="100"/>
      <c r="Y120" s="100"/>
      <c r="Z120" s="120"/>
      <c r="AA120" s="75"/>
      <c r="AB120" s="75"/>
      <c r="AC120" s="75"/>
      <c r="AD120" s="75"/>
      <c r="AE120" s="75"/>
      <c r="AF120" s="79"/>
      <c r="AG120" s="79"/>
      <c r="AH120" s="118"/>
      <c r="AI120" s="118"/>
      <c r="AJ120" s="118"/>
      <c r="AK120" s="100"/>
      <c r="AL120" s="100"/>
      <c r="AM120" s="100"/>
      <c r="AN120" s="100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11"/>
      <c r="BY120" s="100"/>
      <c r="BZ120" s="267"/>
      <c r="CA120" s="267"/>
      <c r="CB120" s="267"/>
      <c r="CC120" s="267"/>
      <c r="CD120" s="267"/>
      <c r="CE120" s="267"/>
      <c r="CF120" s="267"/>
      <c r="CG120" s="267"/>
      <c r="CH120" s="267"/>
      <c r="CI120" s="267"/>
      <c r="CJ120" s="267"/>
      <c r="CK120" s="267"/>
      <c r="CL120" s="267"/>
      <c r="CM120" s="267"/>
      <c r="CN120" s="267"/>
      <c r="CO120" s="267"/>
      <c r="CP120" s="267"/>
      <c r="CQ120" s="267"/>
      <c r="CR120" s="267"/>
    </row>
    <row r="121" spans="1:96" ht="18" x14ac:dyDescent="0.25">
      <c r="B121" s="232"/>
      <c r="C121" s="106" t="s">
        <v>211</v>
      </c>
      <c r="D121" s="107" t="s">
        <v>151</v>
      </c>
      <c r="E121" s="392" t="s">
        <v>281</v>
      </c>
      <c r="F121" s="392" t="str">
        <f t="shared" si="12"/>
        <v>Kauf nach CF</v>
      </c>
      <c r="G121" s="392" t="str">
        <f t="shared" si="13"/>
        <v>Kauf nach CF</v>
      </c>
      <c r="H121" s="392" t="str">
        <f t="shared" si="13"/>
        <v>Kauf nach CF</v>
      </c>
      <c r="I121" s="230" t="s">
        <v>5</v>
      </c>
      <c r="J121" s="392" t="str">
        <f>IF($B61="x","enthalten","Kauf nach CF")</f>
        <v>Kauf nach CF</v>
      </c>
      <c r="K121" s="392" t="str">
        <f>IF($B61="x","enthalten","Kauf nach CF")</f>
        <v>Kauf nach CF</v>
      </c>
      <c r="L121" s="230" t="s">
        <v>5</v>
      </c>
      <c r="M121" s="125" t="s">
        <v>6</v>
      </c>
      <c r="N121" s="371">
        <v>5.99</v>
      </c>
      <c r="O121" s="240" t="s">
        <v>6</v>
      </c>
      <c r="P121" s="372" t="s">
        <v>7</v>
      </c>
      <c r="Q121" s="218" t="s">
        <v>5</v>
      </c>
      <c r="R121" s="115">
        <f t="shared" si="11"/>
        <v>6.4749999999999996</v>
      </c>
      <c r="S121" s="79"/>
      <c r="T121" s="79"/>
      <c r="U121" s="79"/>
      <c r="V121" s="79"/>
      <c r="Y121" s="121"/>
      <c r="Z121" s="122"/>
      <c r="AA121" s="75"/>
      <c r="AB121" s="123"/>
      <c r="AC121" s="75"/>
      <c r="AD121" s="75"/>
      <c r="AE121" s="75"/>
      <c r="AF121" s="75"/>
      <c r="AG121" s="75"/>
      <c r="AH121" s="75"/>
      <c r="AI121" s="75"/>
      <c r="AJ121" s="75"/>
      <c r="AK121" s="75"/>
      <c r="AL121" s="47"/>
      <c r="AM121" s="47"/>
      <c r="AN121" s="47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I121" s="47"/>
      <c r="BJ121" s="47"/>
      <c r="BM121" s="47"/>
      <c r="BN121" s="47"/>
      <c r="BQ121" s="47"/>
      <c r="BR121" s="47"/>
      <c r="BV121" s="47"/>
      <c r="BW121" s="47"/>
    </row>
    <row r="122" spans="1:96" s="97" customFormat="1" ht="18" x14ac:dyDescent="0.25">
      <c r="A122" s="262"/>
      <c r="B122" s="232"/>
      <c r="C122" s="106" t="s">
        <v>213</v>
      </c>
      <c r="D122" s="107" t="s">
        <v>151</v>
      </c>
      <c r="E122" s="392" t="s">
        <v>281</v>
      </c>
      <c r="F122" s="392" t="str">
        <f t="shared" ref="F122:H123" si="14">IF($B63="x","enthalten","Kauf nach CF")</f>
        <v>Kauf nach CF</v>
      </c>
      <c r="G122" s="392" t="str">
        <f t="shared" si="14"/>
        <v>Kauf nach CF</v>
      </c>
      <c r="H122" s="392" t="str">
        <f t="shared" si="14"/>
        <v>Kauf nach CF</v>
      </c>
      <c r="I122" s="230" t="s">
        <v>5</v>
      </c>
      <c r="J122" s="392" t="str">
        <f>IF($B63="x","enthalten","Kauf nach CF")</f>
        <v>Kauf nach CF</v>
      </c>
      <c r="K122" s="392" t="str">
        <f>IF($B63="x","enthalten","Kauf nach CF")</f>
        <v>Kauf nach CF</v>
      </c>
      <c r="L122" s="230" t="s">
        <v>5</v>
      </c>
      <c r="M122" s="125" t="s">
        <v>6</v>
      </c>
      <c r="N122" s="371">
        <v>8.99</v>
      </c>
      <c r="O122" s="240" t="s">
        <v>6</v>
      </c>
      <c r="P122" s="372" t="s">
        <v>7</v>
      </c>
      <c r="Q122" s="218" t="s">
        <v>5</v>
      </c>
      <c r="R122" s="115">
        <f>N63/2</f>
        <v>8.9749999999999996</v>
      </c>
      <c r="S122" s="79"/>
      <c r="T122" s="79"/>
      <c r="U122" s="79"/>
      <c r="V122" s="79"/>
      <c r="W122" s="103"/>
      <c r="X122" s="79"/>
      <c r="Y122" s="79"/>
      <c r="Z122" s="118"/>
      <c r="AA122" s="119"/>
      <c r="AB122" s="89"/>
      <c r="AC122" s="75"/>
      <c r="AD122" s="75"/>
      <c r="AE122" s="75"/>
      <c r="AF122" s="79"/>
      <c r="AG122" s="79"/>
      <c r="AH122" s="118"/>
      <c r="AI122" s="118"/>
      <c r="AJ122" s="118"/>
      <c r="AK122" s="79"/>
      <c r="AL122" s="79"/>
      <c r="AM122" s="79"/>
      <c r="AN122" s="79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89"/>
      <c r="BY122" s="79"/>
      <c r="BZ122" s="262"/>
      <c r="CA122" s="262"/>
      <c r="CB122" s="262"/>
      <c r="CC122" s="262"/>
      <c r="CD122" s="262"/>
      <c r="CE122" s="262"/>
      <c r="CF122" s="262"/>
      <c r="CG122" s="262"/>
      <c r="CH122" s="262"/>
      <c r="CI122" s="262"/>
      <c r="CJ122" s="262"/>
      <c r="CK122" s="262"/>
      <c r="CL122" s="262"/>
      <c r="CM122" s="262"/>
      <c r="CN122" s="262"/>
      <c r="CO122" s="262"/>
      <c r="CP122" s="262"/>
      <c r="CQ122" s="262"/>
      <c r="CR122" s="262"/>
    </row>
    <row r="123" spans="1:96" s="97" customFormat="1" ht="18" x14ac:dyDescent="0.25">
      <c r="A123" s="262"/>
      <c r="B123" s="232"/>
      <c r="C123" s="106" t="s">
        <v>214</v>
      </c>
      <c r="D123" s="107" t="s">
        <v>151</v>
      </c>
      <c r="E123" s="392" t="s">
        <v>281</v>
      </c>
      <c r="F123" s="392" t="str">
        <f t="shared" si="14"/>
        <v>Kauf nach CF</v>
      </c>
      <c r="G123" s="392" t="str">
        <f t="shared" si="14"/>
        <v>Kauf nach CF</v>
      </c>
      <c r="H123" s="392" t="str">
        <f t="shared" si="14"/>
        <v>Kauf nach CF</v>
      </c>
      <c r="I123" s="230" t="s">
        <v>5</v>
      </c>
      <c r="J123" s="392" t="str">
        <f>IF($B64="x","enthalten","Kauf nach CF")</f>
        <v>Kauf nach CF</v>
      </c>
      <c r="K123" s="392" t="str">
        <f>IF($B64="x","enthalten","Kauf nach CF")</f>
        <v>Kauf nach CF</v>
      </c>
      <c r="L123" s="230" t="s">
        <v>5</v>
      </c>
      <c r="M123" s="125" t="s">
        <v>6</v>
      </c>
      <c r="N123" s="371">
        <v>8.99</v>
      </c>
      <c r="O123" s="240" t="s">
        <v>6</v>
      </c>
      <c r="P123" s="372" t="s">
        <v>7</v>
      </c>
      <c r="Q123" s="218" t="s">
        <v>5</v>
      </c>
      <c r="R123" s="115">
        <f>N64/2</f>
        <v>8.9749999999999996</v>
      </c>
      <c r="S123" s="79"/>
      <c r="T123" s="79"/>
      <c r="U123" s="79"/>
      <c r="V123" s="79"/>
      <c r="W123" s="103"/>
      <c r="X123" s="79"/>
      <c r="Y123" s="79"/>
      <c r="Z123" s="118"/>
      <c r="AA123" s="119"/>
      <c r="AB123" s="89"/>
      <c r="AC123" s="75"/>
      <c r="AD123" s="75"/>
      <c r="AE123" s="75"/>
      <c r="AF123" s="79"/>
      <c r="AG123" s="79"/>
      <c r="AH123" s="118"/>
      <c r="AI123" s="118"/>
      <c r="AJ123" s="118"/>
      <c r="AK123" s="79"/>
      <c r="AL123" s="79"/>
      <c r="AM123" s="79"/>
      <c r="AN123" s="79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89"/>
      <c r="BY123" s="79"/>
      <c r="BZ123" s="262"/>
      <c r="CA123" s="262"/>
      <c r="CB123" s="262"/>
      <c r="CC123" s="262"/>
      <c r="CD123" s="262"/>
      <c r="CE123" s="262"/>
      <c r="CF123" s="262"/>
      <c r="CG123" s="262"/>
      <c r="CH123" s="262"/>
      <c r="CI123" s="262"/>
      <c r="CJ123" s="262"/>
      <c r="CK123" s="262"/>
      <c r="CL123" s="262"/>
      <c r="CM123" s="262"/>
      <c r="CN123" s="262"/>
      <c r="CO123" s="262"/>
      <c r="CP123" s="262"/>
      <c r="CQ123" s="262"/>
      <c r="CR123" s="262"/>
    </row>
    <row r="124" spans="1:96" ht="18" x14ac:dyDescent="0.25">
      <c r="B124" s="232"/>
      <c r="C124" s="106" t="s">
        <v>290</v>
      </c>
      <c r="D124" s="107" t="s">
        <v>151</v>
      </c>
      <c r="E124" s="392" t="s">
        <v>281</v>
      </c>
      <c r="F124" s="392" t="str">
        <f t="shared" ref="F124:L128" si="15">IF(OR($B$67="x",$B68="x"),"enthalten","Kauf nach CF")</f>
        <v>Kauf nach CF</v>
      </c>
      <c r="G124" s="392" t="str">
        <f t="shared" si="15"/>
        <v>Kauf nach CF</v>
      </c>
      <c r="H124" s="392" t="str">
        <f t="shared" si="15"/>
        <v>Kauf nach CF</v>
      </c>
      <c r="I124" s="392" t="str">
        <f t="shared" si="15"/>
        <v>Kauf nach CF</v>
      </c>
      <c r="J124" s="392" t="str">
        <f t="shared" si="15"/>
        <v>Kauf nach CF</v>
      </c>
      <c r="K124" s="392" t="str">
        <f t="shared" si="15"/>
        <v>Kauf nach CF</v>
      </c>
      <c r="L124" s="392" t="str">
        <f t="shared" si="15"/>
        <v>Kauf nach CF</v>
      </c>
      <c r="M124" s="125" t="s">
        <v>6</v>
      </c>
      <c r="N124" s="371">
        <v>4.99</v>
      </c>
      <c r="O124" s="240" t="s">
        <v>6</v>
      </c>
      <c r="P124" s="372" t="s">
        <v>7</v>
      </c>
      <c r="Q124" s="218" t="s">
        <v>5</v>
      </c>
      <c r="R124" s="115"/>
      <c r="S124" s="79"/>
      <c r="T124" s="79"/>
      <c r="U124" s="79"/>
      <c r="V124" s="79"/>
      <c r="AA124" s="75"/>
      <c r="AB124" s="89"/>
      <c r="AC124" s="67"/>
      <c r="AD124" s="67"/>
      <c r="AE124" s="75"/>
      <c r="AF124" s="75"/>
      <c r="AK124" s="67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I124" s="47"/>
      <c r="BJ124" s="47"/>
      <c r="BM124" s="47"/>
      <c r="BN124" s="47"/>
      <c r="BQ124" s="47"/>
      <c r="BR124" s="47"/>
      <c r="BV124" s="47"/>
      <c r="BW124" s="47"/>
    </row>
    <row r="125" spans="1:96" ht="18" x14ac:dyDescent="0.25">
      <c r="B125" s="232"/>
      <c r="C125" s="106" t="s">
        <v>291</v>
      </c>
      <c r="D125" s="107" t="s">
        <v>151</v>
      </c>
      <c r="E125" s="392" t="s">
        <v>281</v>
      </c>
      <c r="F125" s="392" t="str">
        <f t="shared" si="15"/>
        <v>Kauf nach CF</v>
      </c>
      <c r="G125" s="392" t="str">
        <f t="shared" si="15"/>
        <v>Kauf nach CF</v>
      </c>
      <c r="H125" s="392" t="str">
        <f t="shared" si="15"/>
        <v>Kauf nach CF</v>
      </c>
      <c r="I125" s="392" t="str">
        <f t="shared" si="15"/>
        <v>Kauf nach CF</v>
      </c>
      <c r="J125" s="392" t="str">
        <f t="shared" si="15"/>
        <v>Kauf nach CF</v>
      </c>
      <c r="K125" s="392" t="str">
        <f t="shared" si="15"/>
        <v>Kauf nach CF</v>
      </c>
      <c r="L125" s="392" t="str">
        <f t="shared" si="15"/>
        <v>Kauf nach CF</v>
      </c>
      <c r="M125" s="125" t="s">
        <v>6</v>
      </c>
      <c r="N125" s="371">
        <v>4.99</v>
      </c>
      <c r="O125" s="240" t="s">
        <v>6</v>
      </c>
      <c r="P125" s="372" t="s">
        <v>7</v>
      </c>
      <c r="Q125" s="218" t="s">
        <v>5</v>
      </c>
      <c r="R125" s="115"/>
      <c r="S125" s="79"/>
      <c r="T125" s="79"/>
      <c r="U125" s="79"/>
      <c r="V125" s="79"/>
      <c r="AA125" s="75"/>
      <c r="AB125" s="89"/>
      <c r="AC125" s="67"/>
      <c r="AD125" s="67"/>
      <c r="AE125" s="75"/>
      <c r="AF125" s="75"/>
      <c r="AK125" s="67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I125" s="47"/>
      <c r="BJ125" s="47"/>
      <c r="BM125" s="47"/>
      <c r="BN125" s="47"/>
      <c r="BQ125" s="47"/>
      <c r="BR125" s="47"/>
      <c r="BV125" s="47"/>
      <c r="BW125" s="47"/>
    </row>
    <row r="126" spans="1:96" ht="18" x14ac:dyDescent="0.25">
      <c r="B126" s="232"/>
      <c r="C126" s="106" t="s">
        <v>292</v>
      </c>
      <c r="D126" s="107" t="s">
        <v>195</v>
      </c>
      <c r="E126" s="392" t="s">
        <v>281</v>
      </c>
      <c r="F126" s="392" t="str">
        <f t="shared" si="15"/>
        <v>Kauf nach CF</v>
      </c>
      <c r="G126" s="392" t="str">
        <f t="shared" si="15"/>
        <v>Kauf nach CF</v>
      </c>
      <c r="H126" s="392" t="str">
        <f t="shared" si="15"/>
        <v>Kauf nach CF</v>
      </c>
      <c r="I126" s="392" t="str">
        <f t="shared" si="15"/>
        <v>Kauf nach CF</v>
      </c>
      <c r="J126" s="392" t="str">
        <f t="shared" si="15"/>
        <v>Kauf nach CF</v>
      </c>
      <c r="K126" s="392" t="str">
        <f t="shared" si="15"/>
        <v>Kauf nach CF</v>
      </c>
      <c r="L126" s="392" t="str">
        <f t="shared" si="15"/>
        <v>Kauf nach CF</v>
      </c>
      <c r="M126" s="125" t="s">
        <v>6</v>
      </c>
      <c r="N126" s="371">
        <v>9.99</v>
      </c>
      <c r="O126" s="240" t="s">
        <v>6</v>
      </c>
      <c r="P126" s="372" t="s">
        <v>7</v>
      </c>
      <c r="Q126" s="218" t="s">
        <v>5</v>
      </c>
      <c r="R126" s="115"/>
      <c r="S126" s="79"/>
      <c r="T126" s="79"/>
      <c r="U126" s="79"/>
      <c r="V126" s="79"/>
      <c r="Z126" s="118"/>
      <c r="AA126" s="119"/>
      <c r="AB126" s="89"/>
      <c r="AC126" s="67"/>
      <c r="AD126" s="67"/>
      <c r="AE126" s="75"/>
      <c r="AF126" s="75"/>
      <c r="AK126" s="67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I126" s="47"/>
      <c r="BJ126" s="47"/>
      <c r="BM126" s="47"/>
      <c r="BN126" s="47"/>
      <c r="BQ126" s="47"/>
      <c r="BR126" s="47"/>
      <c r="BV126" s="47"/>
      <c r="BW126" s="47"/>
    </row>
    <row r="127" spans="1:96" ht="18" x14ac:dyDescent="0.25">
      <c r="B127" s="232"/>
      <c r="C127" s="106" t="s">
        <v>328</v>
      </c>
      <c r="D127" s="107" t="s">
        <v>195</v>
      </c>
      <c r="E127" s="392" t="s">
        <v>281</v>
      </c>
      <c r="F127" s="392" t="str">
        <f t="shared" si="15"/>
        <v>Kauf nach CF</v>
      </c>
      <c r="G127" s="392" t="str">
        <f t="shared" si="15"/>
        <v>Kauf nach CF</v>
      </c>
      <c r="H127" s="392" t="str">
        <f t="shared" si="15"/>
        <v>Kauf nach CF</v>
      </c>
      <c r="I127" s="392" t="str">
        <f t="shared" si="15"/>
        <v>Kauf nach CF</v>
      </c>
      <c r="J127" s="392" t="str">
        <f t="shared" si="15"/>
        <v>Kauf nach CF</v>
      </c>
      <c r="K127" s="392" t="str">
        <f t="shared" si="15"/>
        <v>Kauf nach CF</v>
      </c>
      <c r="L127" s="392" t="str">
        <f t="shared" si="15"/>
        <v>Kauf nach CF</v>
      </c>
      <c r="M127" s="125" t="s">
        <v>6</v>
      </c>
      <c r="N127" s="371">
        <v>9.99</v>
      </c>
      <c r="O127" s="240" t="s">
        <v>6</v>
      </c>
      <c r="P127" s="372" t="s">
        <v>7</v>
      </c>
      <c r="Q127" s="218" t="s">
        <v>5</v>
      </c>
      <c r="R127" s="115"/>
      <c r="S127" s="79"/>
      <c r="T127" s="79"/>
      <c r="U127" s="79"/>
      <c r="V127" s="79"/>
      <c r="Z127" s="118"/>
      <c r="AA127" s="119"/>
      <c r="AB127" s="89"/>
      <c r="AC127" s="67"/>
      <c r="AD127" s="67"/>
      <c r="AE127" s="75"/>
      <c r="AF127" s="75"/>
      <c r="AK127" s="67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I127" s="47"/>
      <c r="BJ127" s="47"/>
      <c r="BM127" s="47"/>
      <c r="BN127" s="47"/>
      <c r="BQ127" s="47"/>
      <c r="BR127" s="47"/>
      <c r="BV127" s="47"/>
      <c r="BW127" s="47"/>
    </row>
    <row r="128" spans="1:96" ht="18" x14ac:dyDescent="0.25">
      <c r="B128" s="232"/>
      <c r="C128" s="106" t="s">
        <v>329</v>
      </c>
      <c r="D128" s="107" t="s">
        <v>195</v>
      </c>
      <c r="E128" s="392" t="s">
        <v>281</v>
      </c>
      <c r="F128" s="392" t="str">
        <f t="shared" si="15"/>
        <v>Kauf nach CF</v>
      </c>
      <c r="G128" s="392" t="str">
        <f t="shared" si="15"/>
        <v>Kauf nach CF</v>
      </c>
      <c r="H128" s="392" t="str">
        <f t="shared" si="15"/>
        <v>Kauf nach CF</v>
      </c>
      <c r="I128" s="392" t="str">
        <f t="shared" si="15"/>
        <v>Kauf nach CF</v>
      </c>
      <c r="J128" s="392" t="str">
        <f t="shared" si="15"/>
        <v>Kauf nach CF</v>
      </c>
      <c r="K128" s="392" t="str">
        <f t="shared" si="15"/>
        <v>Kauf nach CF</v>
      </c>
      <c r="L128" s="392" t="str">
        <f t="shared" si="15"/>
        <v>Kauf nach CF</v>
      </c>
      <c r="M128" s="125" t="s">
        <v>6</v>
      </c>
      <c r="N128" s="371">
        <v>9.99</v>
      </c>
      <c r="O128" s="240" t="s">
        <v>6</v>
      </c>
      <c r="P128" s="372" t="s">
        <v>7</v>
      </c>
      <c r="Q128" s="218" t="s">
        <v>5</v>
      </c>
      <c r="R128" s="115"/>
      <c r="S128" s="79"/>
      <c r="T128" s="79"/>
      <c r="U128" s="79"/>
      <c r="V128" s="79"/>
      <c r="Z128" s="118"/>
      <c r="AA128" s="119"/>
      <c r="AB128" s="89"/>
      <c r="AC128" s="67"/>
      <c r="AD128" s="67"/>
      <c r="AE128" s="75"/>
      <c r="AF128" s="75"/>
      <c r="AK128" s="67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I128" s="47"/>
      <c r="BJ128" s="47"/>
      <c r="BM128" s="47"/>
      <c r="BN128" s="47"/>
      <c r="BQ128" s="47"/>
      <c r="BR128" s="47"/>
      <c r="BV128" s="47"/>
      <c r="BW128" s="47"/>
    </row>
    <row r="129" spans="1:96" ht="18" x14ac:dyDescent="0.25">
      <c r="B129" s="232"/>
      <c r="C129" s="106" t="s">
        <v>219</v>
      </c>
      <c r="D129" s="107" t="s">
        <v>171</v>
      </c>
      <c r="E129" s="392" t="s">
        <v>281</v>
      </c>
      <c r="F129" s="392" t="s">
        <v>274</v>
      </c>
      <c r="G129" s="392" t="s">
        <v>274</v>
      </c>
      <c r="H129" s="392" t="s">
        <v>274</v>
      </c>
      <c r="I129" s="392" t="s">
        <v>274</v>
      </c>
      <c r="J129" s="392" t="s">
        <v>274</v>
      </c>
      <c r="K129" s="392" t="s">
        <v>274</v>
      </c>
      <c r="L129" s="392" t="s">
        <v>274</v>
      </c>
      <c r="M129" s="117">
        <v>17.95</v>
      </c>
      <c r="N129" s="130">
        <v>19.95</v>
      </c>
      <c r="O129" s="240" t="s">
        <v>6</v>
      </c>
      <c r="P129" s="131" t="s">
        <v>245</v>
      </c>
      <c r="Q129" s="218" t="s">
        <v>5</v>
      </c>
      <c r="R129" s="115"/>
      <c r="S129" s="79"/>
      <c r="T129" s="79"/>
      <c r="U129" s="79"/>
      <c r="V129" s="79"/>
      <c r="Z129" s="79"/>
      <c r="AA129" s="75"/>
      <c r="AB129" s="89"/>
      <c r="AC129" s="67"/>
      <c r="AD129" s="67"/>
      <c r="AE129" s="75"/>
      <c r="AF129" s="75"/>
      <c r="AK129" s="67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I129" s="47"/>
      <c r="BJ129" s="47"/>
      <c r="BM129" s="47"/>
      <c r="BN129" s="47"/>
      <c r="BQ129" s="47"/>
      <c r="BR129" s="47"/>
      <c r="BV129" s="47"/>
      <c r="BW129" s="47"/>
    </row>
    <row r="130" spans="1:96" ht="18" x14ac:dyDescent="0.25">
      <c r="B130" s="232"/>
      <c r="C130" s="106" t="s">
        <v>220</v>
      </c>
      <c r="D130" s="107" t="s">
        <v>171</v>
      </c>
      <c r="E130" s="392" t="s">
        <v>281</v>
      </c>
      <c r="F130" s="392" t="s">
        <v>274</v>
      </c>
      <c r="G130" s="392" t="s">
        <v>274</v>
      </c>
      <c r="H130" s="392" t="s">
        <v>274</v>
      </c>
      <c r="I130" s="392" t="s">
        <v>274</v>
      </c>
      <c r="J130" s="392" t="s">
        <v>274</v>
      </c>
      <c r="K130" s="392" t="s">
        <v>274</v>
      </c>
      <c r="L130" s="392" t="s">
        <v>274</v>
      </c>
      <c r="M130" s="117">
        <v>14.95</v>
      </c>
      <c r="N130" s="130">
        <v>17.95</v>
      </c>
      <c r="O130" s="240" t="s">
        <v>6</v>
      </c>
      <c r="P130" s="131" t="s">
        <v>245</v>
      </c>
      <c r="Q130" s="218" t="s">
        <v>5</v>
      </c>
      <c r="R130" s="115"/>
      <c r="S130" s="79"/>
      <c r="T130" s="79"/>
      <c r="U130" s="79"/>
      <c r="V130" s="79"/>
      <c r="Z130" s="118"/>
      <c r="AA130" s="119"/>
      <c r="AB130" s="89"/>
      <c r="AC130" s="67"/>
      <c r="AD130" s="67"/>
      <c r="AE130" s="75"/>
      <c r="AF130" s="75"/>
      <c r="AK130" s="67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I130" s="47"/>
      <c r="BJ130" s="47"/>
      <c r="BM130" s="47"/>
      <c r="BN130" s="47"/>
      <c r="BQ130" s="47"/>
      <c r="BR130" s="47"/>
      <c r="BV130" s="47"/>
      <c r="BW130" s="47"/>
    </row>
    <row r="131" spans="1:96" ht="18" x14ac:dyDescent="0.25">
      <c r="B131" s="428"/>
      <c r="C131" s="327" t="s">
        <v>324</v>
      </c>
      <c r="D131" s="423" t="s">
        <v>185</v>
      </c>
      <c r="E131" s="427" t="s">
        <v>326</v>
      </c>
      <c r="F131" s="427" t="s">
        <v>326</v>
      </c>
      <c r="G131" s="427" t="s">
        <v>326</v>
      </c>
      <c r="H131" s="427" t="s">
        <v>326</v>
      </c>
      <c r="I131" s="427" t="s">
        <v>326</v>
      </c>
      <c r="J131" s="427" t="s">
        <v>326</v>
      </c>
      <c r="K131" s="427" t="s">
        <v>326</v>
      </c>
      <c r="L131" s="427" t="s">
        <v>326</v>
      </c>
      <c r="M131" s="424" t="s">
        <v>6</v>
      </c>
      <c r="N131" s="425" t="s">
        <v>6</v>
      </c>
      <c r="O131" s="426" t="s">
        <v>6</v>
      </c>
      <c r="P131" s="422" t="s">
        <v>325</v>
      </c>
      <c r="Q131" s="218" t="s">
        <v>5</v>
      </c>
      <c r="R131" s="115"/>
      <c r="S131" s="79"/>
      <c r="T131" s="79"/>
      <c r="U131" s="79"/>
      <c r="V131" s="79"/>
      <c r="Z131" s="118"/>
      <c r="AA131" s="119"/>
      <c r="AB131" s="89"/>
      <c r="AC131" s="67"/>
      <c r="AD131" s="67"/>
      <c r="AE131" s="75"/>
      <c r="AF131" s="75"/>
      <c r="AK131" s="67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I131" s="47"/>
      <c r="BJ131" s="47"/>
      <c r="BM131" s="47"/>
      <c r="BN131" s="47"/>
      <c r="BQ131" s="47"/>
      <c r="BR131" s="47"/>
      <c r="BV131" s="47"/>
      <c r="BW131" s="47"/>
    </row>
    <row r="132" spans="1:96" s="134" customFormat="1" ht="18" hidden="1" outlineLevel="1" collapsed="1" x14ac:dyDescent="0.3">
      <c r="A132" s="268"/>
      <c r="B132" s="232"/>
      <c r="C132" s="124" t="s">
        <v>189</v>
      </c>
      <c r="D132" s="129" t="s">
        <v>190</v>
      </c>
      <c r="E132" s="392" t="s">
        <v>281</v>
      </c>
      <c r="F132" s="392" t="s">
        <v>279</v>
      </c>
      <c r="G132" s="230" t="s">
        <v>5</v>
      </c>
      <c r="H132" s="230" t="s">
        <v>5</v>
      </c>
      <c r="I132" s="230" t="s">
        <v>5</v>
      </c>
      <c r="J132" s="230" t="s">
        <v>5</v>
      </c>
      <c r="K132" s="230" t="s">
        <v>5</v>
      </c>
      <c r="L132" s="230" t="s">
        <v>5</v>
      </c>
      <c r="M132" s="108" t="s">
        <v>6</v>
      </c>
      <c r="N132" s="130" t="s">
        <v>6</v>
      </c>
      <c r="O132" s="239" t="s">
        <v>6</v>
      </c>
      <c r="P132" s="131"/>
      <c r="Q132" s="220" t="s">
        <v>5</v>
      </c>
      <c r="R132" s="132">
        <f>AB132</f>
        <v>0</v>
      </c>
      <c r="S132" s="79"/>
      <c r="T132" s="79"/>
      <c r="U132" s="79"/>
      <c r="V132" s="79"/>
      <c r="W132" s="48"/>
      <c r="X132" s="48"/>
      <c r="Y132" s="48"/>
      <c r="Z132" s="48"/>
      <c r="AA132" s="75"/>
      <c r="AB132" s="89"/>
      <c r="AC132" s="72"/>
      <c r="AD132" s="72"/>
      <c r="AE132" s="75"/>
      <c r="AF132" s="75"/>
      <c r="AG132" s="48"/>
      <c r="AH132" s="72"/>
      <c r="AI132" s="72"/>
      <c r="AJ132" s="72"/>
      <c r="AK132" s="72"/>
      <c r="AL132" s="72"/>
      <c r="AM132" s="72"/>
      <c r="AN132" s="72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133"/>
      <c r="BY132" s="48"/>
      <c r="BZ132" s="268"/>
      <c r="CA132" s="268"/>
      <c r="CB132" s="268"/>
      <c r="CC132" s="268"/>
      <c r="CD132" s="268"/>
      <c r="CE132" s="268"/>
      <c r="CF132" s="268"/>
      <c r="CG132" s="268"/>
      <c r="CH132" s="268"/>
      <c r="CI132" s="268"/>
      <c r="CJ132" s="268"/>
      <c r="CK132" s="268"/>
      <c r="CL132" s="268"/>
      <c r="CM132" s="268"/>
      <c r="CN132" s="268"/>
      <c r="CO132" s="268"/>
      <c r="CP132" s="268"/>
      <c r="CQ132" s="268"/>
      <c r="CR132" s="268"/>
    </row>
    <row r="133" spans="1:96" s="134" customFormat="1" ht="18" collapsed="1" x14ac:dyDescent="0.3">
      <c r="A133" s="268"/>
      <c r="B133" s="232"/>
      <c r="C133" s="124" t="s">
        <v>302</v>
      </c>
      <c r="D133" s="129" t="s">
        <v>151</v>
      </c>
      <c r="E133" s="392" t="s">
        <v>281</v>
      </c>
      <c r="F133" s="392" t="str">
        <f>IF($B84="x","enthalten","Kauf nach CF")</f>
        <v>Kauf nach CF</v>
      </c>
      <c r="G133" s="230" t="s">
        <v>5</v>
      </c>
      <c r="H133" s="230" t="s">
        <v>5</v>
      </c>
      <c r="I133" s="230" t="s">
        <v>5</v>
      </c>
      <c r="J133" s="230" t="s">
        <v>5</v>
      </c>
      <c r="K133" s="230" t="s">
        <v>5</v>
      </c>
      <c r="L133" s="230" t="s">
        <v>5</v>
      </c>
      <c r="M133" s="108" t="s">
        <v>6</v>
      </c>
      <c r="N133" s="130">
        <v>14.99</v>
      </c>
      <c r="O133" s="239" t="s">
        <v>6</v>
      </c>
      <c r="P133" s="131" t="s">
        <v>7</v>
      </c>
      <c r="Q133" s="220" t="s">
        <v>5</v>
      </c>
      <c r="R133" s="132">
        <f>N84/2</f>
        <v>14.975</v>
      </c>
      <c r="S133" s="79"/>
      <c r="T133" s="79"/>
      <c r="U133" s="79"/>
      <c r="V133" s="79"/>
      <c r="W133" s="48"/>
      <c r="X133" s="48"/>
      <c r="Y133" s="48"/>
      <c r="Z133" s="48"/>
      <c r="AA133" s="75"/>
      <c r="AB133" s="89"/>
      <c r="AC133" s="72"/>
      <c r="AD133" s="72"/>
      <c r="AE133" s="75"/>
      <c r="AF133" s="75"/>
      <c r="AG133" s="48"/>
      <c r="AH133" s="72"/>
      <c r="AI133" s="72"/>
      <c r="AJ133" s="72"/>
      <c r="AK133" s="72"/>
      <c r="AL133" s="72"/>
      <c r="AM133" s="72"/>
      <c r="AN133" s="72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133"/>
      <c r="BY133" s="48"/>
      <c r="BZ133" s="268"/>
      <c r="CA133" s="268"/>
      <c r="CB133" s="268"/>
      <c r="CC133" s="268"/>
      <c r="CD133" s="268"/>
      <c r="CE133" s="268"/>
      <c r="CF133" s="268"/>
      <c r="CG133" s="268"/>
      <c r="CH133" s="268"/>
      <c r="CI133" s="268"/>
      <c r="CJ133" s="268"/>
      <c r="CK133" s="268"/>
      <c r="CL133" s="268"/>
      <c r="CM133" s="268"/>
      <c r="CN133" s="268"/>
      <c r="CO133" s="268"/>
      <c r="CP133" s="268"/>
      <c r="CQ133" s="268"/>
      <c r="CR133" s="268"/>
    </row>
    <row r="134" spans="1:96" s="134" customFormat="1" ht="18" x14ac:dyDescent="0.3">
      <c r="A134" s="268"/>
      <c r="B134" s="233"/>
      <c r="C134" s="128" t="s">
        <v>347</v>
      </c>
      <c r="D134" s="129" t="s">
        <v>151</v>
      </c>
      <c r="E134" s="392" t="s">
        <v>281</v>
      </c>
      <c r="F134" s="392" t="s">
        <v>279</v>
      </c>
      <c r="G134" s="230" t="s">
        <v>5</v>
      </c>
      <c r="H134" s="230" t="s">
        <v>5</v>
      </c>
      <c r="I134" s="230" t="s">
        <v>5</v>
      </c>
      <c r="J134" s="230" t="s">
        <v>5</v>
      </c>
      <c r="K134" s="230" t="s">
        <v>5</v>
      </c>
      <c r="L134" s="230" t="s">
        <v>5</v>
      </c>
      <c r="M134" s="125" t="s">
        <v>6</v>
      </c>
      <c r="N134" s="130" t="s">
        <v>6</v>
      </c>
      <c r="O134" s="240" t="s">
        <v>6</v>
      </c>
      <c r="P134" s="131"/>
      <c r="Q134" s="220" t="s">
        <v>5</v>
      </c>
      <c r="R134" s="132">
        <f t="shared" ref="R134" si="16">AB134</f>
        <v>0</v>
      </c>
      <c r="S134" s="79"/>
      <c r="T134" s="79"/>
      <c r="U134" s="79"/>
      <c r="V134" s="79"/>
      <c r="W134" s="48"/>
      <c r="X134" s="48"/>
      <c r="Y134" s="48"/>
      <c r="Z134" s="48"/>
      <c r="AA134" s="75"/>
      <c r="AB134" s="89"/>
      <c r="AC134" s="72"/>
      <c r="AD134" s="72"/>
      <c r="AE134" s="75"/>
      <c r="AF134" s="75"/>
      <c r="AG134" s="48"/>
      <c r="AH134" s="72"/>
      <c r="AI134" s="72"/>
      <c r="AJ134" s="72"/>
      <c r="AK134" s="72"/>
      <c r="AL134" s="72"/>
      <c r="AM134" s="72"/>
      <c r="AN134" s="72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133"/>
      <c r="BY134" s="48"/>
      <c r="BZ134" s="268"/>
      <c r="CA134" s="268"/>
      <c r="CB134" s="268"/>
      <c r="CC134" s="268"/>
      <c r="CD134" s="268"/>
      <c r="CE134" s="268"/>
      <c r="CF134" s="268"/>
      <c r="CG134" s="268"/>
      <c r="CH134" s="268"/>
      <c r="CI134" s="268"/>
      <c r="CJ134" s="268"/>
      <c r="CK134" s="268"/>
      <c r="CL134" s="268"/>
      <c r="CM134" s="268"/>
      <c r="CN134" s="268"/>
      <c r="CO134" s="268"/>
      <c r="CP134" s="268"/>
      <c r="CQ134" s="268"/>
      <c r="CR134" s="268"/>
    </row>
    <row r="135" spans="1:96" s="134" customFormat="1" ht="18" x14ac:dyDescent="0.3">
      <c r="A135" s="268"/>
      <c r="B135" s="233"/>
      <c r="C135" s="128" t="s">
        <v>333</v>
      </c>
      <c r="D135" s="129" t="s">
        <v>341</v>
      </c>
      <c r="E135" s="392" t="s">
        <v>281</v>
      </c>
      <c r="F135" s="392" t="s">
        <v>279</v>
      </c>
      <c r="G135" s="235" t="s">
        <v>5</v>
      </c>
      <c r="H135" s="235" t="s">
        <v>5</v>
      </c>
      <c r="I135" s="235" t="s">
        <v>5</v>
      </c>
      <c r="J135" s="235" t="s">
        <v>5</v>
      </c>
      <c r="K135" s="235" t="s">
        <v>5</v>
      </c>
      <c r="L135" s="235" t="s">
        <v>5</v>
      </c>
      <c r="M135" s="125" t="s">
        <v>6</v>
      </c>
      <c r="N135" s="130" t="s">
        <v>6</v>
      </c>
      <c r="O135" s="240" t="s">
        <v>6</v>
      </c>
      <c r="P135" s="131"/>
      <c r="Q135" s="220" t="s">
        <v>5</v>
      </c>
      <c r="R135" s="132"/>
      <c r="S135" s="79"/>
      <c r="T135" s="79"/>
      <c r="U135" s="79"/>
      <c r="V135" s="79"/>
      <c r="W135" s="48"/>
      <c r="X135" s="48"/>
      <c r="Y135" s="48"/>
      <c r="Z135" s="48"/>
      <c r="AA135" s="75"/>
      <c r="AB135" s="89"/>
      <c r="AC135" s="72"/>
      <c r="AD135" s="72"/>
      <c r="AE135" s="75"/>
      <c r="AF135" s="75"/>
      <c r="AG135" s="48"/>
      <c r="AH135" s="72"/>
      <c r="AI135" s="72"/>
      <c r="AJ135" s="72"/>
      <c r="AK135" s="72"/>
      <c r="AL135" s="72"/>
      <c r="AM135" s="72"/>
      <c r="AN135" s="72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133"/>
      <c r="BY135" s="48"/>
      <c r="BZ135" s="268"/>
      <c r="CA135" s="268"/>
      <c r="CB135" s="268"/>
      <c r="CC135" s="268"/>
      <c r="CD135" s="268"/>
      <c r="CE135" s="268"/>
      <c r="CF135" s="268"/>
      <c r="CG135" s="268"/>
      <c r="CH135" s="268"/>
      <c r="CI135" s="268"/>
      <c r="CJ135" s="268"/>
      <c r="CK135" s="268"/>
      <c r="CL135" s="268"/>
      <c r="CM135" s="268"/>
      <c r="CN135" s="268"/>
      <c r="CO135" s="268"/>
      <c r="CP135" s="268"/>
      <c r="CQ135" s="268"/>
      <c r="CR135" s="268"/>
    </row>
    <row r="136" spans="1:96" s="134" customFormat="1" ht="18" collapsed="1" x14ac:dyDescent="0.3">
      <c r="A136" s="268"/>
      <c r="B136" s="233"/>
      <c r="C136" s="128" t="s">
        <v>334</v>
      </c>
      <c r="D136" s="129" t="s">
        <v>341</v>
      </c>
      <c r="E136" s="392" t="s">
        <v>281</v>
      </c>
      <c r="F136" s="392" t="s">
        <v>279</v>
      </c>
      <c r="G136" s="235" t="s">
        <v>5</v>
      </c>
      <c r="H136" s="235" t="s">
        <v>5</v>
      </c>
      <c r="I136" s="235" t="s">
        <v>5</v>
      </c>
      <c r="J136" s="235" t="s">
        <v>5</v>
      </c>
      <c r="K136" s="235" t="s">
        <v>5</v>
      </c>
      <c r="L136" s="235" t="s">
        <v>5</v>
      </c>
      <c r="M136" s="125" t="s">
        <v>6</v>
      </c>
      <c r="N136" s="130" t="s">
        <v>6</v>
      </c>
      <c r="O136" s="240" t="s">
        <v>6</v>
      </c>
      <c r="P136" s="131"/>
      <c r="Q136" s="220" t="s">
        <v>5</v>
      </c>
      <c r="R136" s="132"/>
      <c r="S136" s="79"/>
      <c r="T136" s="79"/>
      <c r="U136" s="79"/>
      <c r="V136" s="79"/>
      <c r="W136" s="48"/>
      <c r="X136" s="48"/>
      <c r="Y136" s="48"/>
      <c r="Z136" s="48"/>
      <c r="AA136" s="75"/>
      <c r="AB136" s="89"/>
      <c r="AC136" s="72"/>
      <c r="AD136" s="72"/>
      <c r="AE136" s="75"/>
      <c r="AF136" s="75"/>
      <c r="AG136" s="48"/>
      <c r="AH136" s="72"/>
      <c r="AI136" s="72"/>
      <c r="AJ136" s="72"/>
      <c r="AK136" s="72"/>
      <c r="AL136" s="72"/>
      <c r="AM136" s="72"/>
      <c r="AN136" s="72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133"/>
      <c r="BY136" s="48"/>
      <c r="BZ136" s="268"/>
      <c r="CA136" s="268"/>
      <c r="CB136" s="268"/>
      <c r="CC136" s="268"/>
      <c r="CD136" s="268"/>
      <c r="CE136" s="268"/>
      <c r="CF136" s="268"/>
      <c r="CG136" s="268"/>
      <c r="CH136" s="268"/>
      <c r="CI136" s="268"/>
      <c r="CJ136" s="268"/>
      <c r="CK136" s="268"/>
      <c r="CL136" s="268"/>
      <c r="CM136" s="268"/>
      <c r="CN136" s="268"/>
      <c r="CO136" s="268"/>
      <c r="CP136" s="268"/>
      <c r="CQ136" s="268"/>
      <c r="CR136" s="268"/>
    </row>
    <row r="137" spans="1:96" s="134" customFormat="1" ht="18" collapsed="1" x14ac:dyDescent="0.3">
      <c r="A137" s="268"/>
      <c r="B137" s="233"/>
      <c r="C137" s="128" t="s">
        <v>335</v>
      </c>
      <c r="D137" s="129" t="s">
        <v>341</v>
      </c>
      <c r="E137" s="392" t="s">
        <v>281</v>
      </c>
      <c r="F137" s="392" t="s">
        <v>279</v>
      </c>
      <c r="G137" s="235" t="s">
        <v>5</v>
      </c>
      <c r="H137" s="235" t="s">
        <v>5</v>
      </c>
      <c r="I137" s="235" t="s">
        <v>5</v>
      </c>
      <c r="J137" s="235" t="s">
        <v>5</v>
      </c>
      <c r="K137" s="235" t="s">
        <v>5</v>
      </c>
      <c r="L137" s="235" t="s">
        <v>5</v>
      </c>
      <c r="M137" s="125" t="s">
        <v>6</v>
      </c>
      <c r="N137" s="130" t="s">
        <v>6</v>
      </c>
      <c r="O137" s="240" t="s">
        <v>6</v>
      </c>
      <c r="P137" s="131"/>
      <c r="Q137" s="220" t="s">
        <v>5</v>
      </c>
      <c r="R137" s="132"/>
      <c r="S137" s="79"/>
      <c r="T137" s="79"/>
      <c r="U137" s="79"/>
      <c r="V137" s="79"/>
      <c r="W137" s="48"/>
      <c r="X137" s="48"/>
      <c r="Y137" s="48"/>
      <c r="Z137" s="48"/>
      <c r="AA137" s="75"/>
      <c r="AB137" s="89"/>
      <c r="AC137" s="72"/>
      <c r="AD137" s="72"/>
      <c r="AE137" s="75"/>
      <c r="AF137" s="75"/>
      <c r="AG137" s="48"/>
      <c r="AH137" s="72"/>
      <c r="AI137" s="72"/>
      <c r="AJ137" s="72"/>
      <c r="AK137" s="72"/>
      <c r="AL137" s="72"/>
      <c r="AM137" s="72"/>
      <c r="AN137" s="72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133"/>
      <c r="BY137" s="48"/>
      <c r="BZ137" s="268"/>
      <c r="CA137" s="268"/>
      <c r="CB137" s="268"/>
      <c r="CC137" s="268"/>
      <c r="CD137" s="268"/>
      <c r="CE137" s="268"/>
      <c r="CF137" s="268"/>
      <c r="CG137" s="268"/>
      <c r="CH137" s="268"/>
      <c r="CI137" s="268"/>
      <c r="CJ137" s="268"/>
      <c r="CK137" s="268"/>
      <c r="CL137" s="268"/>
      <c r="CM137" s="268"/>
      <c r="CN137" s="268"/>
      <c r="CO137" s="268"/>
      <c r="CP137" s="268"/>
      <c r="CQ137" s="268"/>
      <c r="CR137" s="268"/>
    </row>
    <row r="138" spans="1:96" s="134" customFormat="1" ht="18" collapsed="1" x14ac:dyDescent="0.3">
      <c r="A138" s="268"/>
      <c r="B138" s="233"/>
      <c r="C138" s="128" t="s">
        <v>348</v>
      </c>
      <c r="D138" s="129" t="s">
        <v>341</v>
      </c>
      <c r="E138" s="392" t="s">
        <v>281</v>
      </c>
      <c r="F138" s="392" t="s">
        <v>279</v>
      </c>
      <c r="G138" s="235" t="s">
        <v>5</v>
      </c>
      <c r="H138" s="235" t="s">
        <v>5</v>
      </c>
      <c r="I138" s="235" t="s">
        <v>5</v>
      </c>
      <c r="J138" s="235" t="s">
        <v>5</v>
      </c>
      <c r="K138" s="235" t="s">
        <v>5</v>
      </c>
      <c r="L138" s="235" t="s">
        <v>5</v>
      </c>
      <c r="M138" s="125" t="s">
        <v>6</v>
      </c>
      <c r="N138" s="130" t="s">
        <v>6</v>
      </c>
      <c r="O138" s="240" t="s">
        <v>6</v>
      </c>
      <c r="P138" s="131"/>
      <c r="Q138" s="220" t="s">
        <v>5</v>
      </c>
      <c r="R138" s="132"/>
      <c r="S138" s="79"/>
      <c r="T138" s="79"/>
      <c r="U138" s="79"/>
      <c r="V138" s="79"/>
      <c r="W138" s="48"/>
      <c r="X138" s="48"/>
      <c r="Y138" s="48"/>
      <c r="Z138" s="48"/>
      <c r="AA138" s="75"/>
      <c r="AB138" s="89"/>
      <c r="AC138" s="72"/>
      <c r="AD138" s="72"/>
      <c r="AE138" s="75"/>
      <c r="AF138" s="75"/>
      <c r="AG138" s="48"/>
      <c r="AH138" s="72"/>
      <c r="AI138" s="72"/>
      <c r="AJ138" s="72"/>
      <c r="AK138" s="72"/>
      <c r="AL138" s="72"/>
      <c r="AM138" s="72"/>
      <c r="AN138" s="72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133"/>
      <c r="BY138" s="48"/>
      <c r="BZ138" s="268"/>
      <c r="CA138" s="268"/>
      <c r="CB138" s="268"/>
      <c r="CC138" s="268"/>
      <c r="CD138" s="268"/>
      <c r="CE138" s="268"/>
      <c r="CF138" s="268"/>
      <c r="CG138" s="268"/>
      <c r="CH138" s="268"/>
      <c r="CI138" s="268"/>
      <c r="CJ138" s="268"/>
      <c r="CK138" s="268"/>
      <c r="CL138" s="268"/>
      <c r="CM138" s="268"/>
      <c r="CN138" s="268"/>
      <c r="CO138" s="268"/>
      <c r="CP138" s="268"/>
      <c r="CQ138" s="268"/>
      <c r="CR138" s="268"/>
    </row>
    <row r="139" spans="1:96" s="134" customFormat="1" ht="18" x14ac:dyDescent="0.3">
      <c r="A139" s="268"/>
      <c r="B139" s="233"/>
      <c r="C139" s="128" t="s">
        <v>336</v>
      </c>
      <c r="D139" s="129" t="s">
        <v>341</v>
      </c>
      <c r="E139" s="392" t="s">
        <v>281</v>
      </c>
      <c r="F139" s="392" t="s">
        <v>279</v>
      </c>
      <c r="G139" s="235" t="s">
        <v>5</v>
      </c>
      <c r="H139" s="235" t="s">
        <v>5</v>
      </c>
      <c r="I139" s="235" t="s">
        <v>5</v>
      </c>
      <c r="J139" s="235" t="s">
        <v>5</v>
      </c>
      <c r="K139" s="235" t="s">
        <v>5</v>
      </c>
      <c r="L139" s="235" t="s">
        <v>5</v>
      </c>
      <c r="M139" s="125" t="s">
        <v>6</v>
      </c>
      <c r="N139" s="130" t="s">
        <v>6</v>
      </c>
      <c r="O139" s="240" t="s">
        <v>6</v>
      </c>
      <c r="P139" s="131"/>
      <c r="Q139" s="220" t="s">
        <v>5</v>
      </c>
      <c r="R139" s="132"/>
      <c r="S139" s="79"/>
      <c r="T139" s="79"/>
      <c r="U139" s="79"/>
      <c r="V139" s="79"/>
      <c r="W139" s="48"/>
      <c r="X139" s="48"/>
      <c r="Y139" s="48"/>
      <c r="Z139" s="48"/>
      <c r="AA139" s="75"/>
      <c r="AB139" s="89"/>
      <c r="AC139" s="72"/>
      <c r="AD139" s="72"/>
      <c r="AE139" s="75"/>
      <c r="AF139" s="75"/>
      <c r="AG139" s="48"/>
      <c r="AH139" s="72"/>
      <c r="AI139" s="72"/>
      <c r="AJ139" s="72"/>
      <c r="AK139" s="72"/>
      <c r="AL139" s="72"/>
      <c r="AM139" s="72"/>
      <c r="AN139" s="72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133"/>
      <c r="BY139" s="48"/>
      <c r="BZ139" s="268"/>
      <c r="CA139" s="268"/>
      <c r="CB139" s="268"/>
      <c r="CC139" s="268"/>
      <c r="CD139" s="268"/>
      <c r="CE139" s="268"/>
      <c r="CF139" s="268"/>
      <c r="CG139" s="268"/>
      <c r="CH139" s="268"/>
      <c r="CI139" s="268"/>
      <c r="CJ139" s="268"/>
      <c r="CK139" s="268"/>
      <c r="CL139" s="268"/>
      <c r="CM139" s="268"/>
      <c r="CN139" s="268"/>
      <c r="CO139" s="268"/>
      <c r="CP139" s="268"/>
      <c r="CQ139" s="268"/>
      <c r="CR139" s="268"/>
    </row>
    <row r="140" spans="1:96" s="134" customFormat="1" ht="18" x14ac:dyDescent="0.3">
      <c r="A140" s="268"/>
      <c r="B140" s="233"/>
      <c r="C140" s="377" t="s">
        <v>337</v>
      </c>
      <c r="D140" s="129" t="s">
        <v>341</v>
      </c>
      <c r="E140" s="392" t="s">
        <v>281</v>
      </c>
      <c r="F140" s="392" t="s">
        <v>279</v>
      </c>
      <c r="G140" s="235" t="s">
        <v>5</v>
      </c>
      <c r="H140" s="235" t="s">
        <v>5</v>
      </c>
      <c r="I140" s="235" t="s">
        <v>5</v>
      </c>
      <c r="J140" s="235" t="s">
        <v>5</v>
      </c>
      <c r="K140" s="235" t="s">
        <v>5</v>
      </c>
      <c r="L140" s="235" t="s">
        <v>5</v>
      </c>
      <c r="M140" s="125" t="s">
        <v>6</v>
      </c>
      <c r="N140" s="130" t="s">
        <v>6</v>
      </c>
      <c r="O140" s="240" t="s">
        <v>6</v>
      </c>
      <c r="P140" s="131"/>
      <c r="Q140" s="220" t="s">
        <v>5</v>
      </c>
      <c r="R140" s="132"/>
      <c r="S140" s="79"/>
      <c r="T140" s="79"/>
      <c r="U140" s="79"/>
      <c r="V140" s="79"/>
      <c r="W140" s="48"/>
      <c r="X140" s="48"/>
      <c r="Y140" s="48"/>
      <c r="Z140" s="48"/>
      <c r="AA140" s="75"/>
      <c r="AB140" s="89"/>
      <c r="AC140" s="72"/>
      <c r="AD140" s="72"/>
      <c r="AE140" s="75"/>
      <c r="AF140" s="75"/>
      <c r="AG140" s="48"/>
      <c r="AH140" s="72"/>
      <c r="AI140" s="72"/>
      <c r="AJ140" s="72"/>
      <c r="AK140" s="72"/>
      <c r="AL140" s="72"/>
      <c r="AM140" s="72"/>
      <c r="AN140" s="72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133"/>
      <c r="BY140" s="48"/>
      <c r="BZ140" s="268"/>
      <c r="CA140" s="268"/>
      <c r="CB140" s="268"/>
      <c r="CC140" s="268"/>
      <c r="CD140" s="268"/>
      <c r="CE140" s="268"/>
      <c r="CF140" s="268"/>
      <c r="CG140" s="268"/>
      <c r="CH140" s="268"/>
      <c r="CI140" s="268"/>
      <c r="CJ140" s="268"/>
      <c r="CK140" s="268"/>
      <c r="CL140" s="268"/>
      <c r="CM140" s="268"/>
      <c r="CN140" s="268"/>
      <c r="CO140" s="268"/>
      <c r="CP140" s="268"/>
      <c r="CQ140" s="268"/>
      <c r="CR140" s="268"/>
    </row>
    <row r="141" spans="1:96" s="134" customFormat="1" ht="18" x14ac:dyDescent="0.3">
      <c r="A141" s="268"/>
      <c r="B141" s="233"/>
      <c r="C141" s="377" t="s">
        <v>338</v>
      </c>
      <c r="D141" s="129" t="s">
        <v>341</v>
      </c>
      <c r="E141" s="392" t="s">
        <v>281</v>
      </c>
      <c r="F141" s="392" t="s">
        <v>279</v>
      </c>
      <c r="G141" s="235" t="s">
        <v>5</v>
      </c>
      <c r="H141" s="235" t="s">
        <v>5</v>
      </c>
      <c r="I141" s="235" t="s">
        <v>5</v>
      </c>
      <c r="J141" s="235" t="s">
        <v>5</v>
      </c>
      <c r="K141" s="235" t="s">
        <v>5</v>
      </c>
      <c r="L141" s="235" t="s">
        <v>5</v>
      </c>
      <c r="M141" s="125" t="s">
        <v>6</v>
      </c>
      <c r="N141" s="130" t="s">
        <v>6</v>
      </c>
      <c r="O141" s="240" t="s">
        <v>6</v>
      </c>
      <c r="P141" s="131"/>
      <c r="Q141" s="220" t="s">
        <v>5</v>
      </c>
      <c r="R141" s="132"/>
      <c r="S141" s="79"/>
      <c r="T141" s="79"/>
      <c r="U141" s="79"/>
      <c r="V141" s="79"/>
      <c r="W141" s="48"/>
      <c r="X141" s="48"/>
      <c r="Y141" s="48"/>
      <c r="Z141" s="48"/>
      <c r="AA141" s="75"/>
      <c r="AB141" s="89"/>
      <c r="AC141" s="72"/>
      <c r="AD141" s="72"/>
      <c r="AE141" s="75"/>
      <c r="AF141" s="75"/>
      <c r="AG141" s="48"/>
      <c r="AH141" s="72"/>
      <c r="AI141" s="72"/>
      <c r="AJ141" s="72"/>
      <c r="AK141" s="72"/>
      <c r="AL141" s="72"/>
      <c r="AM141" s="72"/>
      <c r="AN141" s="72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133"/>
      <c r="BY141" s="48"/>
      <c r="BZ141" s="268"/>
      <c r="CA141" s="268"/>
      <c r="CB141" s="268"/>
      <c r="CC141" s="268"/>
      <c r="CD141" s="268"/>
      <c r="CE141" s="268"/>
      <c r="CF141" s="268"/>
      <c r="CG141" s="268"/>
      <c r="CH141" s="268"/>
      <c r="CI141" s="268"/>
      <c r="CJ141" s="268"/>
      <c r="CK141" s="268"/>
      <c r="CL141" s="268"/>
      <c r="CM141" s="268"/>
      <c r="CN141" s="268"/>
      <c r="CO141" s="268"/>
      <c r="CP141" s="268"/>
      <c r="CQ141" s="268"/>
      <c r="CR141" s="268"/>
    </row>
    <row r="142" spans="1:96" s="134" customFormat="1" ht="18" x14ac:dyDescent="0.3">
      <c r="A142" s="268"/>
      <c r="B142" s="233"/>
      <c r="C142" s="377" t="s">
        <v>339</v>
      </c>
      <c r="D142" s="129" t="s">
        <v>341</v>
      </c>
      <c r="E142" s="392" t="s">
        <v>281</v>
      </c>
      <c r="F142" s="392" t="s">
        <v>279</v>
      </c>
      <c r="G142" s="235" t="s">
        <v>5</v>
      </c>
      <c r="H142" s="235" t="s">
        <v>5</v>
      </c>
      <c r="I142" s="235" t="s">
        <v>5</v>
      </c>
      <c r="J142" s="235" t="s">
        <v>5</v>
      </c>
      <c r="K142" s="235" t="s">
        <v>5</v>
      </c>
      <c r="L142" s="235" t="s">
        <v>5</v>
      </c>
      <c r="M142" s="125" t="s">
        <v>6</v>
      </c>
      <c r="N142" s="130" t="s">
        <v>6</v>
      </c>
      <c r="O142" s="240" t="s">
        <v>6</v>
      </c>
      <c r="P142" s="131"/>
      <c r="Q142" s="220" t="s">
        <v>5</v>
      </c>
      <c r="R142" s="132"/>
      <c r="S142" s="79"/>
      <c r="T142" s="79"/>
      <c r="U142" s="79"/>
      <c r="V142" s="79"/>
      <c r="W142" s="48"/>
      <c r="X142" s="48"/>
      <c r="Y142" s="48"/>
      <c r="Z142" s="48"/>
      <c r="AA142" s="75"/>
      <c r="AB142" s="89"/>
      <c r="AC142" s="72"/>
      <c r="AD142" s="72"/>
      <c r="AE142" s="75"/>
      <c r="AF142" s="75"/>
      <c r="AG142" s="48"/>
      <c r="AH142" s="72"/>
      <c r="AI142" s="72"/>
      <c r="AJ142" s="72"/>
      <c r="AK142" s="72"/>
      <c r="AL142" s="72"/>
      <c r="AM142" s="72"/>
      <c r="AN142" s="72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133"/>
      <c r="BY142" s="48"/>
      <c r="BZ142" s="268"/>
      <c r="CA142" s="268"/>
      <c r="CB142" s="268"/>
      <c r="CC142" s="268"/>
      <c r="CD142" s="268"/>
      <c r="CE142" s="268"/>
      <c r="CF142" s="268"/>
      <c r="CG142" s="268"/>
      <c r="CH142" s="268"/>
      <c r="CI142" s="268"/>
      <c r="CJ142" s="268"/>
      <c r="CK142" s="268"/>
      <c r="CL142" s="268"/>
      <c r="CM142" s="268"/>
      <c r="CN142" s="268"/>
      <c r="CO142" s="268"/>
      <c r="CP142" s="268"/>
      <c r="CQ142" s="268"/>
      <c r="CR142" s="268"/>
    </row>
    <row r="143" spans="1:96" s="134" customFormat="1" ht="18" x14ac:dyDescent="0.3">
      <c r="A143" s="268"/>
      <c r="B143" s="233"/>
      <c r="C143" s="377" t="s">
        <v>340</v>
      </c>
      <c r="D143" s="129" t="s">
        <v>341</v>
      </c>
      <c r="E143" s="392" t="s">
        <v>281</v>
      </c>
      <c r="F143" s="392" t="s">
        <v>279</v>
      </c>
      <c r="G143" s="235" t="s">
        <v>5</v>
      </c>
      <c r="H143" s="235" t="s">
        <v>5</v>
      </c>
      <c r="I143" s="235" t="s">
        <v>5</v>
      </c>
      <c r="J143" s="235" t="s">
        <v>5</v>
      </c>
      <c r="K143" s="235" t="s">
        <v>5</v>
      </c>
      <c r="L143" s="235" t="s">
        <v>5</v>
      </c>
      <c r="M143" s="125" t="s">
        <v>6</v>
      </c>
      <c r="N143" s="130" t="s">
        <v>6</v>
      </c>
      <c r="O143" s="240" t="s">
        <v>6</v>
      </c>
      <c r="P143" s="131"/>
      <c r="Q143" s="220" t="s">
        <v>5</v>
      </c>
      <c r="R143" s="132"/>
      <c r="S143" s="79"/>
      <c r="T143" s="79"/>
      <c r="U143" s="79"/>
      <c r="V143" s="79"/>
      <c r="W143" s="48"/>
      <c r="X143" s="48"/>
      <c r="Y143" s="48"/>
      <c r="Z143" s="48"/>
      <c r="AA143" s="75"/>
      <c r="AB143" s="89"/>
      <c r="AC143" s="72"/>
      <c r="AD143" s="72"/>
      <c r="AE143" s="75"/>
      <c r="AF143" s="75"/>
      <c r="AG143" s="48"/>
      <c r="AH143" s="72"/>
      <c r="AI143" s="72"/>
      <c r="AJ143" s="72"/>
      <c r="AK143" s="72"/>
      <c r="AL143" s="72"/>
      <c r="AM143" s="72"/>
      <c r="AN143" s="72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133"/>
      <c r="BY143" s="48"/>
      <c r="BZ143" s="268"/>
      <c r="CA143" s="268"/>
      <c r="CB143" s="268"/>
      <c r="CC143" s="268"/>
      <c r="CD143" s="268"/>
      <c r="CE143" s="268"/>
      <c r="CF143" s="268"/>
      <c r="CG143" s="268"/>
      <c r="CH143" s="268"/>
      <c r="CI143" s="268"/>
      <c r="CJ143" s="268"/>
      <c r="CK143" s="268"/>
      <c r="CL143" s="268"/>
      <c r="CM143" s="268"/>
      <c r="CN143" s="268"/>
      <c r="CO143" s="268"/>
      <c r="CP143" s="268"/>
      <c r="CQ143" s="268"/>
      <c r="CR143" s="268"/>
    </row>
    <row r="144" spans="1:96" s="134" customFormat="1" ht="18" x14ac:dyDescent="0.3">
      <c r="A144" s="268"/>
      <c r="B144" s="233"/>
      <c r="C144" s="377" t="s">
        <v>343</v>
      </c>
      <c r="D144" s="129" t="s">
        <v>341</v>
      </c>
      <c r="E144" s="392" t="s">
        <v>281</v>
      </c>
      <c r="F144" s="392" t="s">
        <v>279</v>
      </c>
      <c r="G144" s="235" t="s">
        <v>5</v>
      </c>
      <c r="H144" s="235" t="s">
        <v>5</v>
      </c>
      <c r="I144" s="235" t="s">
        <v>5</v>
      </c>
      <c r="J144" s="235" t="s">
        <v>5</v>
      </c>
      <c r="K144" s="235" t="s">
        <v>5</v>
      </c>
      <c r="L144" s="235" t="s">
        <v>5</v>
      </c>
      <c r="M144" s="125" t="s">
        <v>6</v>
      </c>
      <c r="N144" s="130" t="s">
        <v>6</v>
      </c>
      <c r="O144" s="240" t="s">
        <v>6</v>
      </c>
      <c r="P144" s="131"/>
      <c r="Q144" s="220" t="s">
        <v>5</v>
      </c>
      <c r="R144" s="132"/>
      <c r="S144" s="79"/>
      <c r="T144" s="79"/>
      <c r="U144" s="79"/>
      <c r="V144" s="79"/>
      <c r="W144" s="48"/>
      <c r="X144" s="48"/>
      <c r="Y144" s="48"/>
      <c r="Z144" s="48"/>
      <c r="AA144" s="75"/>
      <c r="AB144" s="89"/>
      <c r="AC144" s="72"/>
      <c r="AD144" s="72"/>
      <c r="AE144" s="75"/>
      <c r="AF144" s="75"/>
      <c r="AG144" s="48"/>
      <c r="AH144" s="72"/>
      <c r="AI144" s="72"/>
      <c r="AJ144" s="72"/>
      <c r="AK144" s="72"/>
      <c r="AL144" s="72"/>
      <c r="AM144" s="72"/>
      <c r="AN144" s="72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133"/>
      <c r="BY144" s="48"/>
      <c r="BZ144" s="268"/>
      <c r="CA144" s="268"/>
      <c r="CB144" s="268"/>
      <c r="CC144" s="268"/>
      <c r="CD144" s="268"/>
      <c r="CE144" s="268"/>
      <c r="CF144" s="268"/>
      <c r="CG144" s="268"/>
      <c r="CH144" s="268"/>
      <c r="CI144" s="268"/>
      <c r="CJ144" s="268"/>
      <c r="CK144" s="268"/>
      <c r="CL144" s="268"/>
      <c r="CM144" s="268"/>
      <c r="CN144" s="268"/>
      <c r="CO144" s="268"/>
      <c r="CP144" s="268"/>
      <c r="CQ144" s="268"/>
      <c r="CR144" s="268"/>
    </row>
    <row r="145" spans="1:96" s="134" customFormat="1" ht="18" x14ac:dyDescent="0.3">
      <c r="A145" s="268"/>
      <c r="B145" s="233"/>
      <c r="C145" s="377" t="s">
        <v>346</v>
      </c>
      <c r="D145" s="129" t="s">
        <v>341</v>
      </c>
      <c r="E145" s="392" t="s">
        <v>281</v>
      </c>
      <c r="F145" s="392" t="s">
        <v>279</v>
      </c>
      <c r="G145" s="235" t="s">
        <v>5</v>
      </c>
      <c r="H145" s="235" t="s">
        <v>5</v>
      </c>
      <c r="I145" s="235" t="s">
        <v>5</v>
      </c>
      <c r="J145" s="235" t="s">
        <v>5</v>
      </c>
      <c r="K145" s="235" t="s">
        <v>5</v>
      </c>
      <c r="L145" s="235" t="s">
        <v>5</v>
      </c>
      <c r="M145" s="125" t="s">
        <v>6</v>
      </c>
      <c r="N145" s="130" t="s">
        <v>6</v>
      </c>
      <c r="O145" s="240" t="s">
        <v>6</v>
      </c>
      <c r="P145" s="131"/>
      <c r="Q145" s="220" t="s">
        <v>5</v>
      </c>
      <c r="R145" s="132"/>
      <c r="S145" s="79"/>
      <c r="T145" s="79"/>
      <c r="U145" s="79"/>
      <c r="V145" s="79"/>
      <c r="W145" s="48"/>
      <c r="X145" s="48"/>
      <c r="Y145" s="48"/>
      <c r="Z145" s="48"/>
      <c r="AA145" s="75"/>
      <c r="AB145" s="89"/>
      <c r="AC145" s="72"/>
      <c r="AD145" s="72"/>
      <c r="AE145" s="75"/>
      <c r="AF145" s="75"/>
      <c r="AG145" s="48"/>
      <c r="AH145" s="72"/>
      <c r="AI145" s="72"/>
      <c r="AJ145" s="72"/>
      <c r="AK145" s="72"/>
      <c r="AL145" s="72"/>
      <c r="AM145" s="72"/>
      <c r="AN145" s="72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133"/>
      <c r="BY145" s="48"/>
      <c r="BZ145" s="268"/>
      <c r="CA145" s="268"/>
      <c r="CB145" s="268"/>
      <c r="CC145" s="268"/>
      <c r="CD145" s="268"/>
      <c r="CE145" s="268"/>
      <c r="CF145" s="268"/>
      <c r="CG145" s="268"/>
      <c r="CH145" s="268"/>
      <c r="CI145" s="268"/>
      <c r="CJ145" s="268"/>
      <c r="CK145" s="268"/>
      <c r="CL145" s="268"/>
      <c r="CM145" s="268"/>
      <c r="CN145" s="268"/>
      <c r="CO145" s="268"/>
      <c r="CP145" s="268"/>
      <c r="CQ145" s="268"/>
      <c r="CR145" s="268"/>
    </row>
    <row r="146" spans="1:96" s="134" customFormat="1" ht="18" x14ac:dyDescent="0.3">
      <c r="A146" s="268"/>
      <c r="B146" s="233"/>
      <c r="C146" s="377" t="s">
        <v>258</v>
      </c>
      <c r="D146" s="129" t="s">
        <v>151</v>
      </c>
      <c r="E146" s="392" t="s">
        <v>281</v>
      </c>
      <c r="F146" s="392" t="s">
        <v>279</v>
      </c>
      <c r="G146" s="230" t="s">
        <v>5</v>
      </c>
      <c r="H146" s="230" t="s">
        <v>5</v>
      </c>
      <c r="I146" s="230" t="s">
        <v>5</v>
      </c>
      <c r="J146" s="230" t="s">
        <v>5</v>
      </c>
      <c r="K146" s="230" t="s">
        <v>5</v>
      </c>
      <c r="L146" s="230" t="s">
        <v>5</v>
      </c>
      <c r="M146" s="125" t="s">
        <v>6</v>
      </c>
      <c r="N146" s="130" t="s">
        <v>6</v>
      </c>
      <c r="O146" s="240" t="s">
        <v>6</v>
      </c>
      <c r="P146" s="131"/>
      <c r="Q146" s="220" t="s">
        <v>5</v>
      </c>
      <c r="R146" s="132">
        <f t="shared" ref="R146:R152" si="17">AB146</f>
        <v>0</v>
      </c>
      <c r="S146" s="79"/>
      <c r="T146" s="79"/>
      <c r="U146" s="79"/>
      <c r="V146" s="79"/>
      <c r="W146" s="48"/>
      <c r="X146" s="48"/>
      <c r="Y146" s="48"/>
      <c r="Z146" s="48"/>
      <c r="AA146" s="75"/>
      <c r="AB146" s="89"/>
      <c r="AC146" s="72"/>
      <c r="AD146" s="72"/>
      <c r="AE146" s="75"/>
      <c r="AF146" s="75"/>
      <c r="AG146" s="48"/>
      <c r="AH146" s="72"/>
      <c r="AI146" s="72"/>
      <c r="AJ146" s="72"/>
      <c r="AK146" s="72"/>
      <c r="AL146" s="72"/>
      <c r="AM146" s="72"/>
      <c r="AN146" s="72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133"/>
      <c r="BY146" s="48"/>
      <c r="BZ146" s="268"/>
      <c r="CA146" s="268"/>
      <c r="CB146" s="268"/>
      <c r="CC146" s="268"/>
      <c r="CD146" s="268"/>
      <c r="CE146" s="268"/>
      <c r="CF146" s="268"/>
      <c r="CG146" s="268"/>
      <c r="CH146" s="268"/>
      <c r="CI146" s="268"/>
      <c r="CJ146" s="268"/>
      <c r="CK146" s="268"/>
      <c r="CL146" s="268"/>
      <c r="CM146" s="268"/>
      <c r="CN146" s="268"/>
      <c r="CO146" s="268"/>
      <c r="CP146" s="268"/>
      <c r="CQ146" s="268"/>
      <c r="CR146" s="268"/>
    </row>
    <row r="147" spans="1:96" s="134" customFormat="1" ht="18" x14ac:dyDescent="0.3">
      <c r="A147" s="268"/>
      <c r="B147" s="233"/>
      <c r="C147" s="377" t="s">
        <v>355</v>
      </c>
      <c r="D147" s="129" t="s">
        <v>151</v>
      </c>
      <c r="E147" s="392" t="s">
        <v>281</v>
      </c>
      <c r="F147" s="392" t="s">
        <v>279</v>
      </c>
      <c r="G147" s="230" t="s">
        <v>5</v>
      </c>
      <c r="H147" s="230" t="s">
        <v>5</v>
      </c>
      <c r="I147" s="230" t="s">
        <v>5</v>
      </c>
      <c r="J147" s="230" t="s">
        <v>5</v>
      </c>
      <c r="K147" s="230" t="s">
        <v>5</v>
      </c>
      <c r="L147" s="230" t="s">
        <v>5</v>
      </c>
      <c r="M147" s="125" t="s">
        <v>6</v>
      </c>
      <c r="N147" s="130" t="s">
        <v>6</v>
      </c>
      <c r="O147" s="240" t="s">
        <v>6</v>
      </c>
      <c r="P147" s="131"/>
      <c r="Q147" s="220" t="s">
        <v>5</v>
      </c>
      <c r="R147" s="132">
        <f t="shared" si="17"/>
        <v>0</v>
      </c>
      <c r="S147" s="79"/>
      <c r="T147" s="79"/>
      <c r="U147" s="79"/>
      <c r="V147" s="79"/>
      <c r="W147" s="48"/>
      <c r="X147" s="48"/>
      <c r="Y147" s="48"/>
      <c r="Z147" s="48"/>
      <c r="AA147" s="75"/>
      <c r="AB147" s="89"/>
      <c r="AC147" s="72"/>
      <c r="AD147" s="72"/>
      <c r="AE147" s="75"/>
      <c r="AF147" s="75"/>
      <c r="AG147" s="48"/>
      <c r="AH147" s="72"/>
      <c r="AI147" s="72"/>
      <c r="AJ147" s="72"/>
      <c r="AK147" s="72"/>
      <c r="AL147" s="72"/>
      <c r="AM147" s="72"/>
      <c r="AN147" s="72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133"/>
      <c r="BY147" s="48"/>
      <c r="BZ147" s="268"/>
      <c r="CA147" s="268"/>
      <c r="CB147" s="268"/>
      <c r="CC147" s="268"/>
      <c r="CD147" s="268"/>
      <c r="CE147" s="268"/>
      <c r="CF147" s="268"/>
      <c r="CG147" s="268"/>
      <c r="CH147" s="268"/>
      <c r="CI147" s="268"/>
      <c r="CJ147" s="268"/>
      <c r="CK147" s="268"/>
      <c r="CL147" s="268"/>
      <c r="CM147" s="268"/>
      <c r="CN147" s="268"/>
      <c r="CO147" s="268"/>
      <c r="CP147" s="268"/>
      <c r="CQ147" s="268"/>
      <c r="CR147" s="268"/>
    </row>
    <row r="148" spans="1:96" s="134" customFormat="1" ht="18" x14ac:dyDescent="0.3">
      <c r="A148" s="268"/>
      <c r="B148" s="233"/>
      <c r="C148" s="377" t="s">
        <v>356</v>
      </c>
      <c r="D148" s="473" t="s">
        <v>151</v>
      </c>
      <c r="E148" s="474" t="s">
        <v>281</v>
      </c>
      <c r="F148" s="474" t="s">
        <v>279</v>
      </c>
      <c r="G148" s="475" t="s">
        <v>5</v>
      </c>
      <c r="H148" s="475" t="s">
        <v>5</v>
      </c>
      <c r="I148" s="475" t="s">
        <v>5</v>
      </c>
      <c r="J148" s="475" t="s">
        <v>5</v>
      </c>
      <c r="K148" s="475" t="s">
        <v>5</v>
      </c>
      <c r="L148" s="475" t="s">
        <v>5</v>
      </c>
      <c r="M148" s="476" t="s">
        <v>6</v>
      </c>
      <c r="N148" s="477" t="s">
        <v>6</v>
      </c>
      <c r="O148" s="478" t="s">
        <v>6</v>
      </c>
      <c r="P148" s="479"/>
      <c r="Q148" s="220" t="s">
        <v>5</v>
      </c>
      <c r="R148" s="132">
        <f t="shared" ref="R148" si="18">AB148</f>
        <v>0</v>
      </c>
      <c r="S148" s="79"/>
      <c r="T148" s="79"/>
      <c r="U148" s="79"/>
      <c r="V148" s="79"/>
      <c r="W148" s="48"/>
      <c r="X148" s="48"/>
      <c r="Y148" s="48"/>
      <c r="Z148" s="48"/>
      <c r="AA148" s="75"/>
      <c r="AB148" s="89"/>
      <c r="AC148" s="72"/>
      <c r="AD148" s="72"/>
      <c r="AE148" s="75"/>
      <c r="AF148" s="75"/>
      <c r="AG148" s="48"/>
      <c r="AH148" s="72"/>
      <c r="AI148" s="72"/>
      <c r="AJ148" s="72"/>
      <c r="AK148" s="72"/>
      <c r="AL148" s="72"/>
      <c r="AM148" s="72"/>
      <c r="AN148" s="72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133"/>
      <c r="BY148" s="48"/>
      <c r="BZ148" s="268"/>
      <c r="CA148" s="268"/>
      <c r="CB148" s="268"/>
      <c r="CC148" s="268"/>
      <c r="CD148" s="268"/>
      <c r="CE148" s="268"/>
      <c r="CF148" s="268"/>
      <c r="CG148" s="268"/>
      <c r="CH148" s="268"/>
      <c r="CI148" s="268"/>
      <c r="CJ148" s="268"/>
      <c r="CK148" s="268"/>
      <c r="CL148" s="268"/>
      <c r="CM148" s="268"/>
      <c r="CN148" s="268"/>
      <c r="CO148" s="268"/>
      <c r="CP148" s="268"/>
      <c r="CQ148" s="268"/>
      <c r="CR148" s="268"/>
    </row>
    <row r="149" spans="1:96" s="134" customFormat="1" ht="18" x14ac:dyDescent="0.3">
      <c r="A149" s="268"/>
      <c r="B149" s="233"/>
      <c r="C149" s="128" t="s">
        <v>254</v>
      </c>
      <c r="D149" s="129" t="s">
        <v>151</v>
      </c>
      <c r="E149" s="392" t="s">
        <v>281</v>
      </c>
      <c r="F149" s="392" t="s">
        <v>279</v>
      </c>
      <c r="G149" s="230" t="s">
        <v>5</v>
      </c>
      <c r="H149" s="230" t="s">
        <v>5</v>
      </c>
      <c r="I149" s="230" t="s">
        <v>5</v>
      </c>
      <c r="J149" s="230" t="s">
        <v>5</v>
      </c>
      <c r="K149" s="230" t="s">
        <v>5</v>
      </c>
      <c r="L149" s="230" t="s">
        <v>5</v>
      </c>
      <c r="M149" s="125" t="s">
        <v>6</v>
      </c>
      <c r="N149" s="130" t="s">
        <v>6</v>
      </c>
      <c r="O149" s="240" t="s">
        <v>6</v>
      </c>
      <c r="P149" s="131"/>
      <c r="Q149" s="220" t="s">
        <v>5</v>
      </c>
      <c r="R149" s="132">
        <f t="shared" si="17"/>
        <v>0</v>
      </c>
      <c r="S149" s="79"/>
      <c r="T149" s="79"/>
      <c r="U149" s="79"/>
      <c r="V149" s="79"/>
      <c r="W149" s="48"/>
      <c r="X149" s="48"/>
      <c r="Y149" s="48"/>
      <c r="Z149" s="48"/>
      <c r="AA149" s="75"/>
      <c r="AB149" s="89"/>
      <c r="AC149" s="72"/>
      <c r="AD149" s="72"/>
      <c r="AE149" s="75"/>
      <c r="AF149" s="75"/>
      <c r="AG149" s="48"/>
      <c r="AH149" s="72"/>
      <c r="AI149" s="72"/>
      <c r="AJ149" s="72"/>
      <c r="AK149" s="72"/>
      <c r="AL149" s="72"/>
      <c r="AM149" s="72"/>
      <c r="AN149" s="72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133"/>
      <c r="BY149" s="48"/>
      <c r="BZ149" s="268"/>
      <c r="CA149" s="268"/>
      <c r="CB149" s="268"/>
      <c r="CC149" s="268"/>
      <c r="CD149" s="268"/>
      <c r="CE149" s="268"/>
      <c r="CF149" s="268"/>
      <c r="CG149" s="268"/>
      <c r="CH149" s="268"/>
      <c r="CI149" s="268"/>
      <c r="CJ149" s="268"/>
      <c r="CK149" s="268"/>
      <c r="CL149" s="268"/>
      <c r="CM149" s="268"/>
      <c r="CN149" s="268"/>
      <c r="CO149" s="268"/>
      <c r="CP149" s="268"/>
      <c r="CQ149" s="268"/>
      <c r="CR149" s="268"/>
    </row>
    <row r="150" spans="1:96" s="134" customFormat="1" ht="18" x14ac:dyDescent="0.3">
      <c r="A150" s="268"/>
      <c r="B150" s="233"/>
      <c r="C150" s="128" t="s">
        <v>259</v>
      </c>
      <c r="D150" s="129" t="s">
        <v>151</v>
      </c>
      <c r="E150" s="392" t="s">
        <v>281</v>
      </c>
      <c r="F150" s="392" t="s">
        <v>279</v>
      </c>
      <c r="G150" s="230" t="s">
        <v>5</v>
      </c>
      <c r="H150" s="230" t="s">
        <v>5</v>
      </c>
      <c r="I150" s="230" t="s">
        <v>5</v>
      </c>
      <c r="J150" s="230" t="s">
        <v>5</v>
      </c>
      <c r="K150" s="230" t="s">
        <v>5</v>
      </c>
      <c r="L150" s="230" t="s">
        <v>5</v>
      </c>
      <c r="M150" s="125" t="s">
        <v>6</v>
      </c>
      <c r="N150" s="130" t="s">
        <v>6</v>
      </c>
      <c r="O150" s="240" t="s">
        <v>6</v>
      </c>
      <c r="P150" s="131"/>
      <c r="Q150" s="220" t="s">
        <v>5</v>
      </c>
      <c r="R150" s="132">
        <f t="shared" si="17"/>
        <v>0</v>
      </c>
      <c r="S150" s="79"/>
      <c r="T150" s="79"/>
      <c r="U150" s="79"/>
      <c r="V150" s="79"/>
      <c r="W150" s="48"/>
      <c r="X150" s="48"/>
      <c r="Y150" s="48"/>
      <c r="Z150" s="48"/>
      <c r="AA150" s="75"/>
      <c r="AB150" s="89"/>
      <c r="AC150" s="72"/>
      <c r="AD150" s="72"/>
      <c r="AE150" s="75"/>
      <c r="AF150" s="75"/>
      <c r="AG150" s="48"/>
      <c r="AH150" s="72"/>
      <c r="AI150" s="72"/>
      <c r="AJ150" s="72"/>
      <c r="AK150" s="72"/>
      <c r="AL150" s="72"/>
      <c r="AM150" s="72"/>
      <c r="AN150" s="72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133"/>
      <c r="BY150" s="48"/>
      <c r="BZ150" s="268"/>
      <c r="CA150" s="268"/>
      <c r="CB150" s="268"/>
      <c r="CC150" s="268"/>
      <c r="CD150" s="268"/>
      <c r="CE150" s="268"/>
      <c r="CF150" s="268"/>
      <c r="CG150" s="268"/>
      <c r="CH150" s="268"/>
      <c r="CI150" s="268"/>
      <c r="CJ150" s="268"/>
      <c r="CK150" s="268"/>
      <c r="CL150" s="268"/>
      <c r="CM150" s="268"/>
      <c r="CN150" s="268"/>
      <c r="CO150" s="268"/>
      <c r="CP150" s="268"/>
      <c r="CQ150" s="268"/>
      <c r="CR150" s="268"/>
    </row>
    <row r="151" spans="1:96" s="134" customFormat="1" ht="18" x14ac:dyDescent="0.3">
      <c r="A151" s="268"/>
      <c r="B151" s="233"/>
      <c r="C151" s="128" t="s">
        <v>262</v>
      </c>
      <c r="D151" s="129" t="s">
        <v>151</v>
      </c>
      <c r="E151" s="392" t="s">
        <v>281</v>
      </c>
      <c r="F151" s="392" t="s">
        <v>279</v>
      </c>
      <c r="G151" s="230" t="s">
        <v>5</v>
      </c>
      <c r="H151" s="230" t="s">
        <v>5</v>
      </c>
      <c r="I151" s="230" t="s">
        <v>5</v>
      </c>
      <c r="J151" s="230" t="s">
        <v>5</v>
      </c>
      <c r="K151" s="230" t="s">
        <v>5</v>
      </c>
      <c r="L151" s="230" t="s">
        <v>5</v>
      </c>
      <c r="M151" s="125" t="s">
        <v>6</v>
      </c>
      <c r="N151" s="130" t="s">
        <v>6</v>
      </c>
      <c r="O151" s="240" t="s">
        <v>6</v>
      </c>
      <c r="P151" s="131"/>
      <c r="Q151" s="220" t="s">
        <v>5</v>
      </c>
      <c r="R151" s="132">
        <f t="shared" si="17"/>
        <v>0</v>
      </c>
      <c r="S151" s="79"/>
      <c r="T151" s="79"/>
      <c r="U151" s="79"/>
      <c r="V151" s="79"/>
      <c r="W151" s="48"/>
      <c r="X151" s="48"/>
      <c r="Y151" s="48"/>
      <c r="Z151" s="48"/>
      <c r="AA151" s="75"/>
      <c r="AB151" s="89"/>
      <c r="AC151" s="72"/>
      <c r="AD151" s="72"/>
      <c r="AE151" s="75"/>
      <c r="AF151" s="75"/>
      <c r="AG151" s="48"/>
      <c r="AH151" s="72"/>
      <c r="AI151" s="72"/>
      <c r="AJ151" s="72"/>
      <c r="AK151" s="72"/>
      <c r="AL151" s="72"/>
      <c r="AM151" s="72"/>
      <c r="AN151" s="72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133"/>
      <c r="BY151" s="48"/>
      <c r="BZ151" s="268"/>
      <c r="CA151" s="268"/>
      <c r="CB151" s="268"/>
      <c r="CC151" s="268"/>
      <c r="CD151" s="268"/>
      <c r="CE151" s="268"/>
      <c r="CF151" s="268"/>
      <c r="CG151" s="268"/>
      <c r="CH151" s="268"/>
      <c r="CI151" s="268"/>
      <c r="CJ151" s="268"/>
      <c r="CK151" s="268"/>
      <c r="CL151" s="268"/>
      <c r="CM151" s="268"/>
      <c r="CN151" s="268"/>
      <c r="CO151" s="268"/>
      <c r="CP151" s="268"/>
      <c r="CQ151" s="268"/>
      <c r="CR151" s="268"/>
    </row>
    <row r="152" spans="1:96" s="134" customFormat="1" ht="18" x14ac:dyDescent="0.3">
      <c r="A152" s="268"/>
      <c r="B152" s="233"/>
      <c r="C152" s="234" t="s">
        <v>261</v>
      </c>
      <c r="D152" s="129" t="s">
        <v>151</v>
      </c>
      <c r="E152" s="392" t="s">
        <v>281</v>
      </c>
      <c r="F152" s="392" t="s">
        <v>279</v>
      </c>
      <c r="G152" s="230" t="s">
        <v>5</v>
      </c>
      <c r="H152" s="230" t="s">
        <v>5</v>
      </c>
      <c r="I152" s="230" t="s">
        <v>5</v>
      </c>
      <c r="J152" s="230" t="s">
        <v>5</v>
      </c>
      <c r="K152" s="230" t="s">
        <v>5</v>
      </c>
      <c r="L152" s="230" t="s">
        <v>5</v>
      </c>
      <c r="M152" s="125" t="s">
        <v>6</v>
      </c>
      <c r="N152" s="130" t="s">
        <v>6</v>
      </c>
      <c r="O152" s="240" t="s">
        <v>6</v>
      </c>
      <c r="P152" s="131"/>
      <c r="Q152" s="220" t="s">
        <v>5</v>
      </c>
      <c r="R152" s="132">
        <f t="shared" si="17"/>
        <v>0</v>
      </c>
      <c r="S152" s="79"/>
      <c r="T152" s="79"/>
      <c r="U152" s="79"/>
      <c r="V152" s="79"/>
      <c r="W152" s="48"/>
      <c r="X152" s="48"/>
      <c r="Y152" s="48"/>
      <c r="Z152" s="48"/>
      <c r="AA152" s="75"/>
      <c r="AB152" s="89"/>
      <c r="AC152" s="72"/>
      <c r="AD152" s="72"/>
      <c r="AE152" s="75"/>
      <c r="AF152" s="75"/>
      <c r="AG152" s="48"/>
      <c r="AH152" s="72"/>
      <c r="AI152" s="72"/>
      <c r="AJ152" s="72"/>
      <c r="AK152" s="72"/>
      <c r="AL152" s="72"/>
      <c r="AM152" s="72"/>
      <c r="AN152" s="72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133"/>
      <c r="BY152" s="48"/>
      <c r="BZ152" s="268"/>
      <c r="CA152" s="268"/>
      <c r="CB152" s="268"/>
      <c r="CC152" s="268"/>
      <c r="CD152" s="268"/>
      <c r="CE152" s="268"/>
      <c r="CF152" s="268"/>
      <c r="CG152" s="268"/>
      <c r="CH152" s="268"/>
      <c r="CI152" s="268"/>
      <c r="CJ152" s="268"/>
      <c r="CK152" s="268"/>
      <c r="CL152" s="268"/>
      <c r="CM152" s="268"/>
      <c r="CN152" s="268"/>
      <c r="CO152" s="268"/>
      <c r="CP152" s="268"/>
      <c r="CQ152" s="268"/>
      <c r="CR152" s="268"/>
    </row>
    <row r="153" spans="1:96" s="97" customFormat="1" ht="18" x14ac:dyDescent="0.25">
      <c r="A153" s="262"/>
      <c r="B153" s="233"/>
      <c r="C153" s="234" t="s">
        <v>303</v>
      </c>
      <c r="D153" s="412" t="s">
        <v>151</v>
      </c>
      <c r="E153" s="392" t="s">
        <v>281</v>
      </c>
      <c r="F153" s="392" t="s">
        <v>279</v>
      </c>
      <c r="G153" s="230" t="s">
        <v>5</v>
      </c>
      <c r="H153" s="230" t="s">
        <v>5</v>
      </c>
      <c r="I153" s="230" t="s">
        <v>5</v>
      </c>
      <c r="J153" s="230" t="s">
        <v>5</v>
      </c>
      <c r="K153" s="230" t="s">
        <v>5</v>
      </c>
      <c r="L153" s="230" t="s">
        <v>5</v>
      </c>
      <c r="M153" s="125" t="s">
        <v>6</v>
      </c>
      <c r="N153" s="130" t="s">
        <v>6</v>
      </c>
      <c r="O153" s="240" t="s">
        <v>6</v>
      </c>
      <c r="P153" s="131"/>
      <c r="Q153" s="218" t="s">
        <v>5</v>
      </c>
      <c r="R153" s="79"/>
      <c r="S153" s="79"/>
      <c r="T153" s="79"/>
      <c r="U153" s="79"/>
      <c r="V153" s="79"/>
      <c r="W153" s="47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118"/>
      <c r="AI153" s="118"/>
      <c r="AJ153" s="118"/>
      <c r="AK153" s="79"/>
      <c r="AL153" s="118"/>
      <c r="AM153" s="118"/>
      <c r="AN153" s="118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89"/>
      <c r="BY153" s="79"/>
      <c r="BZ153" s="262"/>
      <c r="CA153" s="262"/>
      <c r="CB153" s="262"/>
      <c r="CC153" s="262"/>
      <c r="CD153" s="262"/>
      <c r="CE153" s="262"/>
      <c r="CF153" s="262"/>
      <c r="CG153" s="262"/>
      <c r="CH153" s="262"/>
      <c r="CI153" s="262"/>
      <c r="CJ153" s="262"/>
      <c r="CK153" s="262"/>
      <c r="CL153" s="262"/>
      <c r="CM153" s="262"/>
      <c r="CN153" s="262"/>
      <c r="CO153" s="262"/>
      <c r="CP153" s="262"/>
      <c r="CQ153" s="262"/>
      <c r="CR153" s="262"/>
    </row>
    <row r="154" spans="1:96" s="97" customFormat="1" ht="18" x14ac:dyDescent="0.25">
      <c r="A154" s="262"/>
      <c r="B154" s="233"/>
      <c r="C154" s="234" t="s">
        <v>352</v>
      </c>
      <c r="D154" s="412" t="s">
        <v>151</v>
      </c>
      <c r="E154" s="392" t="s">
        <v>281</v>
      </c>
      <c r="F154" s="392" t="s">
        <v>279</v>
      </c>
      <c r="G154" s="230" t="s">
        <v>5</v>
      </c>
      <c r="H154" s="230" t="s">
        <v>5</v>
      </c>
      <c r="I154" s="230" t="s">
        <v>5</v>
      </c>
      <c r="J154" s="230" t="s">
        <v>5</v>
      </c>
      <c r="K154" s="230" t="s">
        <v>5</v>
      </c>
      <c r="L154" s="230" t="s">
        <v>5</v>
      </c>
      <c r="M154" s="125" t="s">
        <v>6</v>
      </c>
      <c r="N154" s="130" t="s">
        <v>6</v>
      </c>
      <c r="O154" s="240" t="s">
        <v>6</v>
      </c>
      <c r="P154" s="131"/>
      <c r="Q154" s="218" t="s">
        <v>5</v>
      </c>
      <c r="R154" s="79"/>
      <c r="S154" s="79"/>
      <c r="T154" s="79"/>
      <c r="U154" s="79"/>
      <c r="V154" s="79"/>
      <c r="W154" s="47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118"/>
      <c r="AI154" s="118"/>
      <c r="AJ154" s="118"/>
      <c r="AK154" s="79"/>
      <c r="AL154" s="118"/>
      <c r="AM154" s="118"/>
      <c r="AN154" s="118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89"/>
      <c r="BY154" s="79"/>
      <c r="BZ154" s="262"/>
      <c r="CA154" s="262"/>
      <c r="CB154" s="262"/>
      <c r="CC154" s="262"/>
      <c r="CD154" s="262"/>
      <c r="CE154" s="262"/>
      <c r="CF154" s="262"/>
      <c r="CG154" s="262"/>
      <c r="CH154" s="262"/>
      <c r="CI154" s="262"/>
      <c r="CJ154" s="262"/>
      <c r="CK154" s="262"/>
      <c r="CL154" s="262"/>
      <c r="CM154" s="262"/>
      <c r="CN154" s="262"/>
      <c r="CO154" s="262"/>
      <c r="CP154" s="262"/>
      <c r="CQ154" s="262"/>
      <c r="CR154" s="262"/>
    </row>
    <row r="155" spans="1:96" s="97" customFormat="1" ht="18" x14ac:dyDescent="0.25">
      <c r="A155" s="262"/>
      <c r="B155" s="233"/>
      <c r="C155" s="234" t="s">
        <v>351</v>
      </c>
      <c r="D155" s="412" t="s">
        <v>151</v>
      </c>
      <c r="E155" s="392" t="s">
        <v>281</v>
      </c>
      <c r="F155" s="392" t="s">
        <v>279</v>
      </c>
      <c r="G155" s="230" t="s">
        <v>5</v>
      </c>
      <c r="H155" s="230" t="s">
        <v>5</v>
      </c>
      <c r="I155" s="230" t="s">
        <v>5</v>
      </c>
      <c r="J155" s="230" t="s">
        <v>5</v>
      </c>
      <c r="K155" s="230" t="s">
        <v>5</v>
      </c>
      <c r="L155" s="230" t="s">
        <v>5</v>
      </c>
      <c r="M155" s="125" t="s">
        <v>6</v>
      </c>
      <c r="N155" s="130" t="s">
        <v>6</v>
      </c>
      <c r="O155" s="240" t="s">
        <v>6</v>
      </c>
      <c r="P155" s="131"/>
      <c r="Q155" s="218" t="s">
        <v>5</v>
      </c>
      <c r="R155" s="79"/>
      <c r="S155" s="79"/>
      <c r="T155" s="79"/>
      <c r="U155" s="79"/>
      <c r="V155" s="79"/>
      <c r="W155" s="47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118"/>
      <c r="AI155" s="118"/>
      <c r="AJ155" s="118"/>
      <c r="AK155" s="79"/>
      <c r="AL155" s="118"/>
      <c r="AM155" s="118"/>
      <c r="AN155" s="118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89"/>
      <c r="BY155" s="79"/>
      <c r="BZ155" s="262"/>
      <c r="CA155" s="262"/>
      <c r="CB155" s="262"/>
      <c r="CC155" s="262"/>
      <c r="CD155" s="262"/>
      <c r="CE155" s="262"/>
      <c r="CF155" s="262"/>
      <c r="CG155" s="262"/>
      <c r="CH155" s="262"/>
      <c r="CI155" s="262"/>
      <c r="CJ155" s="262"/>
      <c r="CK155" s="262"/>
      <c r="CL155" s="262"/>
      <c r="CM155" s="262"/>
      <c r="CN155" s="262"/>
      <c r="CO155" s="262"/>
      <c r="CP155" s="262"/>
      <c r="CQ155" s="262"/>
      <c r="CR155" s="262"/>
    </row>
    <row r="156" spans="1:96" s="97" customFormat="1" thickBot="1" x14ac:dyDescent="0.3">
      <c r="A156" s="262"/>
      <c r="B156" s="236"/>
      <c r="C156" s="136" t="s">
        <v>256</v>
      </c>
      <c r="D156" s="137" t="s">
        <v>151</v>
      </c>
      <c r="E156" s="392" t="s">
        <v>281</v>
      </c>
      <c r="F156" s="392" t="s">
        <v>279</v>
      </c>
      <c r="G156" s="231" t="s">
        <v>5</v>
      </c>
      <c r="H156" s="231" t="s">
        <v>5</v>
      </c>
      <c r="I156" s="231" t="s">
        <v>5</v>
      </c>
      <c r="J156" s="231" t="s">
        <v>5</v>
      </c>
      <c r="K156" s="231" t="s">
        <v>5</v>
      </c>
      <c r="L156" s="231" t="s">
        <v>5</v>
      </c>
      <c r="M156" s="242" t="s">
        <v>6</v>
      </c>
      <c r="N156" s="243" t="s">
        <v>6</v>
      </c>
      <c r="O156" s="244" t="s">
        <v>6</v>
      </c>
      <c r="P156" s="135"/>
      <c r="Q156" s="218" t="s">
        <v>5</v>
      </c>
      <c r="R156" s="79"/>
      <c r="S156" s="79"/>
      <c r="T156" s="79"/>
      <c r="U156" s="79"/>
      <c r="V156" s="79"/>
      <c r="W156" s="47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118"/>
      <c r="AI156" s="118"/>
      <c r="AJ156" s="118"/>
      <c r="AK156" s="79"/>
      <c r="AL156" s="118"/>
      <c r="AM156" s="118"/>
      <c r="AN156" s="118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89"/>
      <c r="BY156" s="79"/>
      <c r="BZ156" s="262"/>
      <c r="CA156" s="262"/>
      <c r="CB156" s="262"/>
      <c r="CC156" s="262"/>
      <c r="CD156" s="262"/>
      <c r="CE156" s="262"/>
      <c r="CF156" s="262"/>
      <c r="CG156" s="262"/>
      <c r="CH156" s="262"/>
      <c r="CI156" s="262"/>
      <c r="CJ156" s="262"/>
      <c r="CK156" s="262"/>
      <c r="CL156" s="262"/>
      <c r="CM156" s="262"/>
      <c r="CN156" s="262"/>
      <c r="CO156" s="262"/>
      <c r="CP156" s="262"/>
      <c r="CQ156" s="262"/>
      <c r="CR156" s="262"/>
    </row>
    <row r="157" spans="1:96" s="1" customFormat="1" thickBot="1" x14ac:dyDescent="0.35">
      <c r="A157" s="269"/>
      <c r="B157" s="413" t="s">
        <v>314</v>
      </c>
      <c r="C157" s="414" t="s">
        <v>305</v>
      </c>
      <c r="D157" s="414"/>
      <c r="E157" s="415">
        <f>SUMIF(E$111:E$156,"µ",$N$111:$N$156)</f>
        <v>0</v>
      </c>
      <c r="F157" s="415">
        <f t="shared" ref="F157:L157" si="19">SUMIF(F$111:F$156,"µ",$N$111:$N$156)</f>
        <v>0</v>
      </c>
      <c r="G157" s="415">
        <f t="shared" si="19"/>
        <v>41.97</v>
      </c>
      <c r="H157" s="415">
        <f t="shared" si="19"/>
        <v>71.959999999999994</v>
      </c>
      <c r="I157" s="415">
        <f t="shared" si="19"/>
        <v>157.85999999999999</v>
      </c>
      <c r="J157" s="415">
        <f t="shared" si="19"/>
        <v>124.89999999999998</v>
      </c>
      <c r="K157" s="415">
        <f t="shared" si="19"/>
        <v>124.89999999999998</v>
      </c>
      <c r="L157" s="416">
        <f t="shared" si="19"/>
        <v>157.85999999999999</v>
      </c>
      <c r="M157" s="417">
        <f>SUM(M111:M156)</f>
        <v>32.9</v>
      </c>
      <c r="N157" s="418">
        <f t="shared" ref="N157:O157" si="20">SUM(N111:N156)</f>
        <v>235.71</v>
      </c>
      <c r="O157" s="419">
        <f t="shared" si="20"/>
        <v>0</v>
      </c>
      <c r="P157" s="269"/>
      <c r="Q157" s="221" t="s">
        <v>5</v>
      </c>
      <c r="R157" s="42"/>
      <c r="S157" s="79"/>
      <c r="T157" s="79"/>
      <c r="U157" s="79"/>
      <c r="V157" s="79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3"/>
      <c r="BP157" s="43"/>
      <c r="BQ157" s="41">
        <v>1.984126984126984E-2</v>
      </c>
      <c r="BR157" s="138">
        <f t="shared" ref="BR157" si="21">BQ157/$BQ$175</f>
        <v>3.2051282051282055E-2</v>
      </c>
      <c r="BS157" s="42"/>
      <c r="BT157" s="43"/>
      <c r="BU157" s="43"/>
      <c r="BV157" s="42"/>
      <c r="BW157" s="42"/>
      <c r="BX157" s="44"/>
      <c r="BY157" s="42"/>
      <c r="BZ157" s="269"/>
      <c r="CA157" s="269"/>
      <c r="CB157" s="269"/>
      <c r="CC157" s="269"/>
      <c r="CD157" s="269"/>
      <c r="CE157" s="269"/>
      <c r="CF157" s="269"/>
      <c r="CG157" s="269"/>
      <c r="CH157" s="269"/>
      <c r="CI157" s="269"/>
      <c r="CJ157" s="269"/>
      <c r="CK157" s="269"/>
      <c r="CL157" s="269"/>
      <c r="CM157" s="269"/>
      <c r="CN157" s="269"/>
      <c r="CO157" s="269"/>
      <c r="CP157" s="269"/>
      <c r="CQ157" s="269"/>
      <c r="CR157" s="269"/>
    </row>
    <row r="158" spans="1:96" s="1" customFormat="1" thickBot="1" x14ac:dyDescent="0.35">
      <c r="A158" s="269"/>
      <c r="B158" s="413" t="s">
        <v>315</v>
      </c>
      <c r="C158" s="414" t="s">
        <v>312</v>
      </c>
      <c r="D158" s="414"/>
      <c r="E158" s="415">
        <f>E107+E157</f>
        <v>0</v>
      </c>
      <c r="F158" s="415">
        <f t="shared" ref="F158:O158" si="22">F107+F157</f>
        <v>54.89</v>
      </c>
      <c r="G158" s="415">
        <f t="shared" si="22"/>
        <v>96.87</v>
      </c>
      <c r="H158" s="415">
        <f t="shared" si="22"/>
        <v>186.81</v>
      </c>
      <c r="I158" s="415">
        <f t="shared" si="22"/>
        <v>157.85999999999999</v>
      </c>
      <c r="J158" s="415">
        <f t="shared" si="22"/>
        <v>385.39999999999992</v>
      </c>
      <c r="K158" s="415">
        <f t="shared" si="22"/>
        <v>415.39999999999992</v>
      </c>
      <c r="L158" s="416">
        <f t="shared" si="22"/>
        <v>607.95999999999981</v>
      </c>
      <c r="M158" s="417">
        <f t="shared" si="22"/>
        <v>704.85</v>
      </c>
      <c r="N158" s="418">
        <f t="shared" si="22"/>
        <v>927.15000000000032</v>
      </c>
      <c r="O158" s="419">
        <f t="shared" si="22"/>
        <v>117</v>
      </c>
      <c r="P158" s="269"/>
      <c r="Q158" s="221" t="s">
        <v>5</v>
      </c>
      <c r="R158" s="42"/>
      <c r="S158" s="79"/>
      <c r="T158" s="79"/>
      <c r="U158" s="79"/>
      <c r="V158" s="79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3"/>
      <c r="BP158" s="43"/>
      <c r="BQ158" s="41">
        <v>1.984126984126984E-2</v>
      </c>
      <c r="BR158" s="138">
        <f t="shared" ref="BR158" si="23">BQ158/$BQ$175</f>
        <v>3.2051282051282055E-2</v>
      </c>
      <c r="BS158" s="42"/>
      <c r="BT158" s="43"/>
      <c r="BU158" s="43"/>
      <c r="BV158" s="42"/>
      <c r="BW158" s="42"/>
      <c r="BX158" s="44"/>
      <c r="BY158" s="42"/>
      <c r="BZ158" s="269"/>
      <c r="CA158" s="269"/>
      <c r="CB158" s="269"/>
      <c r="CC158" s="269"/>
      <c r="CD158" s="269"/>
      <c r="CE158" s="269"/>
      <c r="CF158" s="269"/>
      <c r="CG158" s="269"/>
      <c r="CH158" s="269"/>
      <c r="CI158" s="269"/>
      <c r="CJ158" s="269"/>
      <c r="CK158" s="269"/>
      <c r="CL158" s="269"/>
      <c r="CM158" s="269"/>
      <c r="CN158" s="269"/>
      <c r="CO158" s="269"/>
      <c r="CP158" s="269"/>
      <c r="CQ158" s="269"/>
      <c r="CR158" s="269"/>
    </row>
    <row r="159" spans="1:96" s="1" customFormat="1" ht="6.75" customHeight="1" thickBot="1" x14ac:dyDescent="0.35">
      <c r="A159" s="269"/>
      <c r="B159" s="289"/>
      <c r="C159" s="290"/>
      <c r="D159" s="290"/>
      <c r="E159" s="291"/>
      <c r="F159" s="291"/>
      <c r="G159" s="291"/>
      <c r="H159" s="291"/>
      <c r="I159" s="291"/>
      <c r="J159" s="291"/>
      <c r="K159" s="291"/>
      <c r="L159" s="291"/>
      <c r="M159" s="292"/>
      <c r="N159" s="293"/>
      <c r="O159" s="294"/>
      <c r="P159" s="269"/>
      <c r="Q159" s="222"/>
      <c r="R159" s="42"/>
      <c r="S159" s="42"/>
      <c r="T159" s="42"/>
      <c r="U159" s="42"/>
      <c r="V159" s="42"/>
      <c r="W159" s="42"/>
      <c r="X159" s="42"/>
      <c r="Y159" s="42"/>
      <c r="Z159" s="42"/>
      <c r="AA159" s="127"/>
      <c r="AB159" s="42"/>
      <c r="AC159" s="127"/>
      <c r="AD159" s="127"/>
      <c r="AE159" s="42"/>
      <c r="AF159" s="42"/>
      <c r="AG159" s="42"/>
      <c r="AH159" s="65"/>
      <c r="AI159" s="42"/>
      <c r="AJ159" s="65"/>
      <c r="AK159" s="127"/>
      <c r="AL159" s="139"/>
      <c r="AM159" s="42"/>
      <c r="AN159" s="65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3"/>
      <c r="BP159" s="43"/>
      <c r="BQ159" s="41">
        <v>3.0423280423280422E-2</v>
      </c>
      <c r="BR159" s="138">
        <f>BQ159/$BQ$175</f>
        <v>4.9145299145299151E-2</v>
      </c>
      <c r="BS159" s="42"/>
      <c r="BT159" s="43"/>
      <c r="BU159" s="43"/>
      <c r="BV159" s="42"/>
      <c r="BW159" s="42"/>
      <c r="BX159" s="44"/>
      <c r="BY159" s="42"/>
      <c r="BZ159" s="269"/>
      <c r="CA159" s="269"/>
      <c r="CB159" s="269"/>
      <c r="CC159" s="269"/>
      <c r="CD159" s="269"/>
      <c r="CE159" s="269"/>
      <c r="CF159" s="269"/>
      <c r="CG159" s="269"/>
      <c r="CH159" s="269"/>
      <c r="CI159" s="269"/>
      <c r="CJ159" s="269"/>
      <c r="CK159" s="269"/>
      <c r="CL159" s="269"/>
      <c r="CM159" s="269"/>
      <c r="CN159" s="269"/>
      <c r="CO159" s="269"/>
      <c r="CP159" s="269"/>
      <c r="CQ159" s="269"/>
      <c r="CR159" s="269"/>
    </row>
    <row r="160" spans="1:96" s="1" customFormat="1" thickBot="1" x14ac:dyDescent="0.35">
      <c r="A160" s="269"/>
      <c r="B160" s="420" t="s">
        <v>8</v>
      </c>
      <c r="C160" s="329" t="s">
        <v>182</v>
      </c>
      <c r="D160" s="329"/>
      <c r="E160" s="330">
        <f t="shared" ref="E160:L160" si="24">E$15+SUMIFS($M$50:$M$156,$B$50:$B$156,"x",E$50:E$156,"Zusatzprodukt")+SUMIFS($N$50:$N$156,$B$50:$B$156,"x",E$50:E$156,"Kauf nach CF")</f>
        <v>0</v>
      </c>
      <c r="F160" s="330">
        <f t="shared" si="24"/>
        <v>40</v>
      </c>
      <c r="G160" s="330">
        <f t="shared" si="24"/>
        <v>45</v>
      </c>
      <c r="H160" s="330">
        <f t="shared" si="24"/>
        <v>100</v>
      </c>
      <c r="I160" s="330">
        <f t="shared" si="24"/>
        <v>100</v>
      </c>
      <c r="J160" s="330">
        <f t="shared" si="24"/>
        <v>200</v>
      </c>
      <c r="K160" s="330">
        <f t="shared" si="24"/>
        <v>230</v>
      </c>
      <c r="L160" s="331">
        <f t="shared" si="24"/>
        <v>360</v>
      </c>
      <c r="M160" s="292"/>
      <c r="N160" s="293"/>
      <c r="O160" s="332">
        <f>SUMIFS($O$50:$O$156,$B$50:$B$156,"x")</f>
        <v>0</v>
      </c>
      <c r="P160" s="269"/>
      <c r="Q160" s="221" t="s">
        <v>5</v>
      </c>
      <c r="R160" s="42"/>
      <c r="S160" s="79"/>
      <c r="T160" s="79"/>
      <c r="U160" s="79"/>
      <c r="V160" s="79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3"/>
      <c r="BP160" s="43"/>
      <c r="BQ160" s="41">
        <v>1.984126984126984E-2</v>
      </c>
      <c r="BR160" s="138">
        <f t="shared" ref="BR160:BR166" si="25">BQ160/$BQ$175</f>
        <v>3.2051282051282055E-2</v>
      </c>
      <c r="BS160" s="42"/>
      <c r="BT160" s="43"/>
      <c r="BU160" s="43"/>
      <c r="BV160" s="42"/>
      <c r="BW160" s="42"/>
      <c r="BX160" s="44"/>
      <c r="BY160" s="42"/>
      <c r="BZ160" s="269"/>
      <c r="CA160" s="269"/>
      <c r="CB160" s="269"/>
      <c r="CC160" s="269"/>
      <c r="CD160" s="269"/>
      <c r="CE160" s="269"/>
      <c r="CF160" s="269"/>
      <c r="CG160" s="269"/>
      <c r="CH160" s="269"/>
      <c r="CI160" s="269"/>
      <c r="CJ160" s="269"/>
      <c r="CK160" s="269"/>
      <c r="CL160" s="269"/>
      <c r="CM160" s="269"/>
      <c r="CN160" s="269"/>
      <c r="CO160" s="269"/>
      <c r="CP160" s="269"/>
      <c r="CQ160" s="269"/>
      <c r="CR160" s="269"/>
    </row>
    <row r="161" spans="1:96" s="1" customFormat="1" ht="18" x14ac:dyDescent="0.3">
      <c r="A161" s="269"/>
      <c r="B161" s="289"/>
      <c r="C161" s="333" t="s">
        <v>221</v>
      </c>
      <c r="D161" s="334"/>
      <c r="E161" s="335">
        <f>$E$160-F$160</f>
        <v>-40</v>
      </c>
      <c r="F161" s="336" t="s">
        <v>9</v>
      </c>
      <c r="G161" s="335">
        <f>$G$160-F$160</f>
        <v>5</v>
      </c>
      <c r="H161" s="335">
        <f>$H$160-F$160</f>
        <v>60</v>
      </c>
      <c r="I161" s="335">
        <f>$I$160-F$160</f>
        <v>60</v>
      </c>
      <c r="J161" s="335">
        <f>$J$160-F$160</f>
        <v>160</v>
      </c>
      <c r="K161" s="335">
        <f>$K$160-F$160</f>
        <v>190</v>
      </c>
      <c r="L161" s="337">
        <f>$L$160-F$160</f>
        <v>320</v>
      </c>
      <c r="M161" s="292"/>
      <c r="N161" s="293"/>
      <c r="O161" s="294"/>
      <c r="P161" s="269"/>
      <c r="Q161" s="218" t="s">
        <v>5</v>
      </c>
      <c r="R161" s="42"/>
      <c r="S161" s="79"/>
      <c r="T161" s="79"/>
      <c r="U161" s="79"/>
      <c r="V161" s="79"/>
      <c r="W161" s="42"/>
      <c r="X161" s="42"/>
      <c r="Y161" s="42"/>
      <c r="Z161" s="42"/>
      <c r="AA161" s="127"/>
      <c r="AB161" s="42"/>
      <c r="AC161" s="127"/>
      <c r="AD161" s="127"/>
      <c r="AE161" s="42"/>
      <c r="AF161" s="42"/>
      <c r="AG161" s="42"/>
      <c r="AH161" s="65"/>
      <c r="AI161" s="42"/>
      <c r="AJ161" s="65"/>
      <c r="AK161" s="127"/>
      <c r="AL161" s="139"/>
      <c r="AM161" s="42"/>
      <c r="AN161" s="65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3"/>
      <c r="BP161" s="43"/>
      <c r="BQ161" s="41">
        <v>1.984126984126984E-2</v>
      </c>
      <c r="BR161" s="138">
        <f t="shared" si="25"/>
        <v>3.2051282051282055E-2</v>
      </c>
      <c r="BS161" s="42"/>
      <c r="BT161" s="43"/>
      <c r="BU161" s="43"/>
      <c r="BV161" s="42"/>
      <c r="BW161" s="42"/>
      <c r="BX161" s="44"/>
      <c r="BY161" s="42"/>
      <c r="BZ161" s="269"/>
      <c r="CA161" s="269"/>
      <c r="CB161" s="269"/>
      <c r="CC161" s="269"/>
      <c r="CD161" s="269"/>
      <c r="CE161" s="269"/>
      <c r="CF161" s="269"/>
      <c r="CG161" s="269"/>
      <c r="CH161" s="269"/>
      <c r="CI161" s="269"/>
      <c r="CJ161" s="269"/>
      <c r="CK161" s="269"/>
      <c r="CL161" s="269"/>
      <c r="CM161" s="269"/>
      <c r="CN161" s="269"/>
      <c r="CO161" s="269"/>
      <c r="CP161" s="269"/>
      <c r="CQ161" s="269"/>
      <c r="CR161" s="269"/>
    </row>
    <row r="162" spans="1:96" s="1" customFormat="1" ht="18" x14ac:dyDescent="0.3">
      <c r="A162" s="269"/>
      <c r="B162" s="289"/>
      <c r="C162" s="338" t="s">
        <v>222</v>
      </c>
      <c r="D162" s="339"/>
      <c r="E162" s="340">
        <f>$E$160-G$160</f>
        <v>-45</v>
      </c>
      <c r="F162" s="340">
        <f>$F$160-G$160</f>
        <v>-5</v>
      </c>
      <c r="G162" s="336" t="s">
        <v>9</v>
      </c>
      <c r="H162" s="340">
        <f>$H$160-G$160</f>
        <v>55</v>
      </c>
      <c r="I162" s="340">
        <f>$I$160-G$160</f>
        <v>55</v>
      </c>
      <c r="J162" s="340">
        <f>$J$160-G$160</f>
        <v>155</v>
      </c>
      <c r="K162" s="340">
        <f>$K$160-G$160</f>
        <v>185</v>
      </c>
      <c r="L162" s="341">
        <f>$L$160-G$160</f>
        <v>315</v>
      </c>
      <c r="M162" s="292"/>
      <c r="N162" s="293"/>
      <c r="O162" s="294"/>
      <c r="P162" s="269"/>
      <c r="Q162" s="218" t="s">
        <v>5</v>
      </c>
      <c r="R162" s="42"/>
      <c r="S162" s="79"/>
      <c r="T162" s="79"/>
      <c r="U162" s="79"/>
      <c r="V162" s="79"/>
      <c r="W162" s="42"/>
      <c r="X162" s="42"/>
      <c r="Y162" s="42"/>
      <c r="Z162" s="42"/>
      <c r="AA162" s="127"/>
      <c r="AB162" s="42"/>
      <c r="AC162" s="127"/>
      <c r="AD162" s="127"/>
      <c r="AE162" s="42"/>
      <c r="AF162" s="42"/>
      <c r="AG162" s="42"/>
      <c r="AH162" s="65"/>
      <c r="AI162" s="42"/>
      <c r="AJ162" s="65"/>
      <c r="AK162" s="127"/>
      <c r="AL162" s="139"/>
      <c r="AM162" s="42"/>
      <c r="AN162" s="65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3"/>
      <c r="BP162" s="43"/>
      <c r="BQ162" s="41">
        <v>1.984126984126984E-2</v>
      </c>
      <c r="BR162" s="138">
        <f t="shared" si="25"/>
        <v>3.2051282051282055E-2</v>
      </c>
      <c r="BS162" s="42"/>
      <c r="BT162" s="43"/>
      <c r="BU162" s="43"/>
      <c r="BV162" s="42"/>
      <c r="BW162" s="42"/>
      <c r="BX162" s="44"/>
      <c r="BY162" s="42"/>
      <c r="BZ162" s="269"/>
      <c r="CA162" s="269"/>
      <c r="CB162" s="269"/>
      <c r="CC162" s="269"/>
      <c r="CD162" s="269"/>
      <c r="CE162" s="269"/>
      <c r="CF162" s="269"/>
      <c r="CG162" s="269"/>
      <c r="CH162" s="269"/>
      <c r="CI162" s="269"/>
      <c r="CJ162" s="269"/>
      <c r="CK162" s="269"/>
      <c r="CL162" s="269"/>
      <c r="CM162" s="269"/>
      <c r="CN162" s="269"/>
      <c r="CO162" s="269"/>
      <c r="CP162" s="269"/>
      <c r="CQ162" s="269"/>
      <c r="CR162" s="269"/>
    </row>
    <row r="163" spans="1:96" s="1" customFormat="1" ht="18" x14ac:dyDescent="0.3">
      <c r="A163" s="269"/>
      <c r="B163" s="289"/>
      <c r="C163" s="338" t="s">
        <v>223</v>
      </c>
      <c r="D163" s="339"/>
      <c r="E163" s="340">
        <f>$E$160-H$160</f>
        <v>-100</v>
      </c>
      <c r="F163" s="340">
        <f>$F$160-H$160</f>
        <v>-60</v>
      </c>
      <c r="G163" s="340">
        <f>$G$160-H$160</f>
        <v>-55</v>
      </c>
      <c r="H163" s="336" t="s">
        <v>9</v>
      </c>
      <c r="I163" s="340">
        <f>$I$160-H$160</f>
        <v>0</v>
      </c>
      <c r="J163" s="340">
        <f>$J$160-H$160</f>
        <v>100</v>
      </c>
      <c r="K163" s="340">
        <f>$K$160-H$160</f>
        <v>130</v>
      </c>
      <c r="L163" s="341">
        <f>$L$160-H$160</f>
        <v>260</v>
      </c>
      <c r="M163" s="292"/>
      <c r="N163" s="293"/>
      <c r="O163" s="294"/>
      <c r="P163" s="269"/>
      <c r="Q163" s="218" t="s">
        <v>5</v>
      </c>
      <c r="R163" s="42"/>
      <c r="S163" s="79"/>
      <c r="T163" s="79"/>
      <c r="U163" s="79"/>
      <c r="V163" s="79"/>
      <c r="W163" s="42"/>
      <c r="X163" s="42"/>
      <c r="Y163" s="42"/>
      <c r="Z163" s="42"/>
      <c r="AA163" s="127"/>
      <c r="AB163" s="42"/>
      <c r="AC163" s="127"/>
      <c r="AD163" s="127"/>
      <c r="AE163" s="42"/>
      <c r="AF163" s="42"/>
      <c r="AG163" s="42"/>
      <c r="AH163" s="65"/>
      <c r="AI163" s="42"/>
      <c r="AJ163" s="65"/>
      <c r="AK163" s="127"/>
      <c r="AL163" s="139"/>
      <c r="AM163" s="42"/>
      <c r="AN163" s="65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3"/>
      <c r="BP163" s="43"/>
      <c r="BQ163" s="41">
        <v>1.984126984126984E-2</v>
      </c>
      <c r="BR163" s="138">
        <f t="shared" si="25"/>
        <v>3.2051282051282055E-2</v>
      </c>
      <c r="BS163" s="42"/>
      <c r="BT163" s="43"/>
      <c r="BU163" s="43"/>
      <c r="BV163" s="42"/>
      <c r="BW163" s="42"/>
      <c r="BX163" s="44"/>
      <c r="BY163" s="42"/>
      <c r="BZ163" s="269"/>
      <c r="CA163" s="269"/>
      <c r="CB163" s="269"/>
      <c r="CC163" s="269"/>
      <c r="CD163" s="269"/>
      <c r="CE163" s="269"/>
      <c r="CF163" s="269"/>
      <c r="CG163" s="269"/>
      <c r="CH163" s="269"/>
      <c r="CI163" s="269"/>
      <c r="CJ163" s="269"/>
      <c r="CK163" s="269"/>
      <c r="CL163" s="269"/>
      <c r="CM163" s="269"/>
      <c r="CN163" s="269"/>
      <c r="CO163" s="269"/>
      <c r="CP163" s="269"/>
      <c r="CQ163" s="269"/>
      <c r="CR163" s="269"/>
    </row>
    <row r="164" spans="1:96" s="1" customFormat="1" ht="18" x14ac:dyDescent="0.3">
      <c r="A164" s="269"/>
      <c r="B164" s="289"/>
      <c r="C164" s="338" t="s">
        <v>224</v>
      </c>
      <c r="D164" s="339"/>
      <c r="E164" s="340">
        <f>$E$160-I$160</f>
        <v>-100</v>
      </c>
      <c r="F164" s="340">
        <f>$F$160-I$160</f>
        <v>-60</v>
      </c>
      <c r="G164" s="340">
        <f>$G$160-I$160</f>
        <v>-55</v>
      </c>
      <c r="H164" s="340">
        <f>$H$160-I$160</f>
        <v>0</v>
      </c>
      <c r="I164" s="336" t="s">
        <v>9</v>
      </c>
      <c r="J164" s="340">
        <f>$J$160-I$160</f>
        <v>100</v>
      </c>
      <c r="K164" s="340">
        <f>$K$160-I$160</f>
        <v>130</v>
      </c>
      <c r="L164" s="341">
        <f>$L$160-I$160</f>
        <v>260</v>
      </c>
      <c r="M164" s="292"/>
      <c r="N164" s="293"/>
      <c r="O164" s="294"/>
      <c r="P164" s="269"/>
      <c r="Q164" s="218" t="s">
        <v>5</v>
      </c>
      <c r="R164" s="42"/>
      <c r="S164" s="79"/>
      <c r="T164" s="79"/>
      <c r="U164" s="79"/>
      <c r="V164" s="79"/>
      <c r="W164" s="42"/>
      <c r="X164" s="42"/>
      <c r="Y164" s="42"/>
      <c r="Z164" s="42"/>
      <c r="AA164" s="127"/>
      <c r="AB164" s="42"/>
      <c r="AC164" s="127"/>
      <c r="AD164" s="127"/>
      <c r="AE164" s="42"/>
      <c r="AF164" s="42"/>
      <c r="AG164" s="42"/>
      <c r="AH164" s="65"/>
      <c r="AI164" s="42"/>
      <c r="AJ164" s="65"/>
      <c r="AK164" s="127"/>
      <c r="AL164" s="139"/>
      <c r="AM164" s="42"/>
      <c r="AN164" s="65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3"/>
      <c r="BP164" s="43"/>
      <c r="BQ164" s="41">
        <v>2.2486772486772486E-2</v>
      </c>
      <c r="BR164" s="138">
        <f t="shared" si="25"/>
        <v>3.6324786324786328E-2</v>
      </c>
      <c r="BS164" s="42"/>
      <c r="BT164" s="43"/>
      <c r="BU164" s="43"/>
      <c r="BV164" s="42"/>
      <c r="BW164" s="42"/>
      <c r="BX164" s="44"/>
      <c r="BY164" s="42"/>
      <c r="BZ164" s="269"/>
      <c r="CA164" s="269"/>
      <c r="CB164" s="269"/>
      <c r="CC164" s="269"/>
      <c r="CD164" s="269"/>
      <c r="CE164" s="269"/>
      <c r="CF164" s="269"/>
      <c r="CG164" s="269"/>
      <c r="CH164" s="269"/>
      <c r="CI164" s="269"/>
      <c r="CJ164" s="269"/>
      <c r="CK164" s="269"/>
      <c r="CL164" s="269"/>
      <c r="CM164" s="269"/>
      <c r="CN164" s="269"/>
      <c r="CO164" s="269"/>
      <c r="CP164" s="269"/>
      <c r="CQ164" s="269"/>
      <c r="CR164" s="269"/>
    </row>
    <row r="165" spans="1:96" s="1" customFormat="1" ht="18" x14ac:dyDescent="0.3">
      <c r="A165" s="269"/>
      <c r="B165" s="289"/>
      <c r="C165" s="338" t="s">
        <v>225</v>
      </c>
      <c r="D165" s="339"/>
      <c r="E165" s="340">
        <f>$E$160-J$160</f>
        <v>-200</v>
      </c>
      <c r="F165" s="340">
        <f>$F$160-J$160</f>
        <v>-160</v>
      </c>
      <c r="G165" s="340">
        <f>$G$160-J$160</f>
        <v>-155</v>
      </c>
      <c r="H165" s="340">
        <f>$H$160-J$160</f>
        <v>-100</v>
      </c>
      <c r="I165" s="340">
        <f>$I$160-J$160</f>
        <v>-100</v>
      </c>
      <c r="J165" s="336" t="s">
        <v>9</v>
      </c>
      <c r="K165" s="340">
        <f>$K$160-J$160</f>
        <v>30</v>
      </c>
      <c r="L165" s="341">
        <f>$L$160-J$160</f>
        <v>160</v>
      </c>
      <c r="M165" s="292"/>
      <c r="N165" s="293"/>
      <c r="O165" s="294"/>
      <c r="P165" s="269"/>
      <c r="Q165" s="218" t="s">
        <v>5</v>
      </c>
      <c r="R165" s="42"/>
      <c r="S165" s="42"/>
      <c r="T165" s="42"/>
      <c r="U165" s="42"/>
      <c r="V165" s="42"/>
      <c r="W165" s="42"/>
      <c r="X165" s="42"/>
      <c r="Y165" s="42"/>
      <c r="Z165" s="42"/>
      <c r="AA165" s="127"/>
      <c r="AB165" s="42"/>
      <c r="AC165" s="127"/>
      <c r="AD165" s="127"/>
      <c r="AE165" s="42"/>
      <c r="AF165" s="42"/>
      <c r="AG165" s="42"/>
      <c r="AH165" s="65"/>
      <c r="AI165" s="42"/>
      <c r="AJ165" s="65"/>
      <c r="AK165" s="127"/>
      <c r="AL165" s="139"/>
      <c r="AM165" s="42"/>
      <c r="AN165" s="65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3"/>
      <c r="BP165" s="43"/>
      <c r="BQ165" s="41">
        <v>2.5132275132275131E-2</v>
      </c>
      <c r="BR165" s="138">
        <f t="shared" si="25"/>
        <v>4.05982905982906E-2</v>
      </c>
      <c r="BS165" s="42"/>
      <c r="BT165" s="43"/>
      <c r="BU165" s="43"/>
      <c r="BV165" s="42"/>
      <c r="BW165" s="42"/>
      <c r="BX165" s="44"/>
      <c r="BY165" s="42"/>
      <c r="BZ165" s="269"/>
      <c r="CA165" s="269"/>
      <c r="CB165" s="269"/>
      <c r="CC165" s="269"/>
      <c r="CD165" s="269"/>
      <c r="CE165" s="269"/>
      <c r="CF165" s="269"/>
      <c r="CG165" s="269"/>
      <c r="CH165" s="269"/>
      <c r="CI165" s="269"/>
      <c r="CJ165" s="269"/>
      <c r="CK165" s="269"/>
      <c r="CL165" s="269"/>
      <c r="CM165" s="269"/>
      <c r="CN165" s="269"/>
      <c r="CO165" s="269"/>
      <c r="CP165" s="269"/>
      <c r="CQ165" s="269"/>
      <c r="CR165" s="269"/>
    </row>
    <row r="166" spans="1:96" s="1" customFormat="1" ht="18" x14ac:dyDescent="0.3">
      <c r="A166" s="269"/>
      <c r="B166" s="289"/>
      <c r="C166" s="338" t="s">
        <v>226</v>
      </c>
      <c r="D166" s="339"/>
      <c r="E166" s="340">
        <f>$E$160-K$160</f>
        <v>-230</v>
      </c>
      <c r="F166" s="340">
        <f>$F$160-K$160</f>
        <v>-190</v>
      </c>
      <c r="G166" s="340">
        <f>$G$160-L$160</f>
        <v>-315</v>
      </c>
      <c r="H166" s="340">
        <f>$H$160-K$160</f>
        <v>-130</v>
      </c>
      <c r="I166" s="340">
        <f>$I$160-K$160</f>
        <v>-130</v>
      </c>
      <c r="J166" s="340">
        <f>$J$160-K$160</f>
        <v>-30</v>
      </c>
      <c r="K166" s="336" t="s">
        <v>9</v>
      </c>
      <c r="L166" s="341">
        <f>$L$160-K$160</f>
        <v>130</v>
      </c>
      <c r="M166" s="292"/>
      <c r="N166" s="293"/>
      <c r="O166" s="294"/>
      <c r="P166" s="269"/>
      <c r="Q166" s="218" t="s">
        <v>5</v>
      </c>
      <c r="R166" s="42"/>
      <c r="S166" s="42"/>
      <c r="T166" s="42"/>
      <c r="U166" s="42"/>
      <c r="V166" s="42"/>
      <c r="W166" s="42"/>
      <c r="X166" s="42"/>
      <c r="Y166" s="42"/>
      <c r="Z166" s="42"/>
      <c r="AA166" s="127"/>
      <c r="AB166" s="42"/>
      <c r="AC166" s="127"/>
      <c r="AD166" s="127"/>
      <c r="AE166" s="42"/>
      <c r="AF166" s="42"/>
      <c r="AG166" s="42"/>
      <c r="AH166" s="65"/>
      <c r="AI166" s="42"/>
      <c r="AJ166" s="65"/>
      <c r="AK166" s="127"/>
      <c r="AL166" s="139"/>
      <c r="AM166" s="42"/>
      <c r="AN166" s="65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3"/>
      <c r="BP166" s="43"/>
      <c r="BQ166" s="41">
        <v>2.5132275132275131E-2</v>
      </c>
      <c r="BR166" s="138">
        <f t="shared" si="25"/>
        <v>4.05982905982906E-2</v>
      </c>
      <c r="BS166" s="42"/>
      <c r="BT166" s="43"/>
      <c r="BU166" s="43"/>
      <c r="BV166" s="42"/>
      <c r="BW166" s="42"/>
      <c r="BX166" s="44"/>
      <c r="BY166" s="42"/>
      <c r="BZ166" s="269"/>
      <c r="CA166" s="269"/>
      <c r="CB166" s="269"/>
      <c r="CC166" s="269"/>
      <c r="CD166" s="269"/>
      <c r="CE166" s="269"/>
      <c r="CF166" s="269"/>
      <c r="CG166" s="269"/>
      <c r="CH166" s="269"/>
      <c r="CI166" s="269"/>
      <c r="CJ166" s="269"/>
      <c r="CK166" s="269"/>
      <c r="CL166" s="269"/>
      <c r="CM166" s="269"/>
      <c r="CN166" s="269"/>
      <c r="CO166" s="269"/>
      <c r="CP166" s="269"/>
      <c r="CQ166" s="269"/>
      <c r="CR166" s="269"/>
    </row>
    <row r="167" spans="1:96" s="1" customFormat="1" thickBot="1" x14ac:dyDescent="0.35">
      <c r="A167" s="269"/>
      <c r="B167" s="289"/>
      <c r="C167" s="342" t="s">
        <v>227</v>
      </c>
      <c r="D167" s="343"/>
      <c r="E167" s="344">
        <f>$E$160-L$160</f>
        <v>-360</v>
      </c>
      <c r="F167" s="344">
        <f>$F$160-L$160</f>
        <v>-320</v>
      </c>
      <c r="G167" s="344">
        <f>$G$160-L$160</f>
        <v>-315</v>
      </c>
      <c r="H167" s="344">
        <f>$H$160-L$160</f>
        <v>-260</v>
      </c>
      <c r="I167" s="344">
        <f>$I$160-L$160</f>
        <v>-260</v>
      </c>
      <c r="J167" s="344">
        <f>$J$160-L$160</f>
        <v>-160</v>
      </c>
      <c r="K167" s="344">
        <f>$K$160-L$160</f>
        <v>-130</v>
      </c>
      <c r="L167" s="345" t="s">
        <v>9</v>
      </c>
      <c r="M167" s="292"/>
      <c r="N167" s="293"/>
      <c r="O167" s="294"/>
      <c r="P167" s="269"/>
      <c r="Q167" s="218" t="s">
        <v>5</v>
      </c>
      <c r="R167" s="42"/>
      <c r="S167" s="42"/>
      <c r="T167" s="42"/>
      <c r="U167" s="42"/>
      <c r="V167" s="42"/>
      <c r="W167" s="42"/>
      <c r="X167" s="42"/>
      <c r="Y167" s="42"/>
      <c r="Z167" s="42"/>
      <c r="AA167" s="127"/>
      <c r="AB167" s="42"/>
      <c r="AC167" s="127"/>
      <c r="AD167" s="127"/>
      <c r="AE167" s="42"/>
      <c r="AF167" s="42"/>
      <c r="AG167" s="42"/>
      <c r="AH167" s="65"/>
      <c r="AI167" s="42"/>
      <c r="AJ167" s="65"/>
      <c r="AK167" s="127"/>
      <c r="AL167" s="139"/>
      <c r="AM167" s="42"/>
      <c r="AN167" s="65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3"/>
      <c r="BP167" s="43"/>
      <c r="BQ167" s="41">
        <v>2.5132275132275131E-2</v>
      </c>
      <c r="BR167" s="138">
        <f t="shared" ref="BR167" si="26">BQ167/$BQ$175</f>
        <v>4.05982905982906E-2</v>
      </c>
      <c r="BS167" s="42"/>
      <c r="BT167" s="43"/>
      <c r="BU167" s="43"/>
      <c r="BV167" s="42"/>
      <c r="BW167" s="42"/>
      <c r="BX167" s="44"/>
      <c r="BY167" s="42"/>
      <c r="BZ167" s="269"/>
      <c r="CA167" s="269"/>
      <c r="CB167" s="269"/>
      <c r="CC167" s="269"/>
      <c r="CD167" s="269"/>
      <c r="CE167" s="269"/>
      <c r="CF167" s="269"/>
      <c r="CG167" s="269"/>
      <c r="CH167" s="269"/>
      <c r="CI167" s="269"/>
      <c r="CJ167" s="269"/>
      <c r="CK167" s="269"/>
      <c r="CL167" s="269"/>
      <c r="CM167" s="269"/>
      <c r="CN167" s="269"/>
      <c r="CO167" s="269"/>
      <c r="CP167" s="269"/>
      <c r="CQ167" s="269"/>
      <c r="CR167" s="269"/>
    </row>
    <row r="168" spans="1:96" s="1" customFormat="1" thickBot="1" x14ac:dyDescent="0.35">
      <c r="A168" s="269"/>
      <c r="B168" s="289"/>
      <c r="C168" s="290"/>
      <c r="D168" s="290"/>
      <c r="E168" s="291"/>
      <c r="F168" s="291"/>
      <c r="G168" s="291"/>
      <c r="H168" s="291"/>
      <c r="I168" s="291"/>
      <c r="J168" s="291"/>
      <c r="K168" s="291"/>
      <c r="L168" s="291"/>
      <c r="M168" s="292"/>
      <c r="N168" s="293"/>
      <c r="O168" s="294"/>
      <c r="P168" s="269"/>
      <c r="Q168" s="222"/>
      <c r="R168" s="42"/>
      <c r="S168" s="42"/>
      <c r="T168" s="42"/>
      <c r="U168" s="42"/>
      <c r="V168" s="42"/>
      <c r="W168" s="42"/>
      <c r="X168" s="42"/>
      <c r="Y168" s="42"/>
      <c r="Z168" s="42"/>
      <c r="AA168" s="127"/>
      <c r="AB168" s="42"/>
      <c r="AC168" s="127"/>
      <c r="AD168" s="127"/>
      <c r="AE168" s="42"/>
      <c r="AF168" s="42"/>
      <c r="AG168" s="42"/>
      <c r="AH168" s="65"/>
      <c r="AI168" s="42"/>
      <c r="AJ168" s="65"/>
      <c r="AK168" s="127"/>
      <c r="AL168" s="139"/>
      <c r="AM168" s="42"/>
      <c r="AN168" s="65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3"/>
      <c r="BP168" s="43"/>
      <c r="BQ168" s="41">
        <v>3.0423280423280422E-2</v>
      </c>
      <c r="BR168" s="138">
        <f>BQ168/$BQ$175</f>
        <v>4.9145299145299151E-2</v>
      </c>
      <c r="BS168" s="42"/>
      <c r="BT168" s="43"/>
      <c r="BU168" s="43"/>
      <c r="BV168" s="42"/>
      <c r="BW168" s="42"/>
      <c r="BX168" s="44"/>
      <c r="BY168" s="42"/>
      <c r="BZ168" s="269"/>
      <c r="CA168" s="269"/>
      <c r="CB168" s="269"/>
      <c r="CC168" s="269"/>
      <c r="CD168" s="269"/>
      <c r="CE168" s="269"/>
      <c r="CF168" s="269"/>
      <c r="CG168" s="269"/>
      <c r="CH168" s="269"/>
      <c r="CI168" s="269"/>
      <c r="CJ168" s="269"/>
      <c r="CK168" s="269"/>
      <c r="CL168" s="269"/>
      <c r="CM168" s="269"/>
      <c r="CN168" s="269"/>
      <c r="CO168" s="269"/>
      <c r="CP168" s="269"/>
      <c r="CQ168" s="269"/>
      <c r="CR168" s="269"/>
    </row>
    <row r="169" spans="1:96" s="1" customFormat="1" ht="18" x14ac:dyDescent="0.3">
      <c r="A169" s="269"/>
      <c r="B169" s="440" t="s">
        <v>10</v>
      </c>
      <c r="C169" s="395" t="s">
        <v>228</v>
      </c>
      <c r="D169" s="346"/>
      <c r="E169" s="449">
        <f>SUMIF($B$50:$B$156,"x",$N$50:$N$156)</f>
        <v>0</v>
      </c>
      <c r="F169" s="450"/>
      <c r="G169" s="450"/>
      <c r="H169" s="450"/>
      <c r="I169" s="450"/>
      <c r="J169" s="450"/>
      <c r="K169" s="450"/>
      <c r="L169" s="451"/>
      <c r="M169" s="295"/>
      <c r="N169" s="296"/>
      <c r="O169" s="297"/>
      <c r="P169" s="269"/>
      <c r="Q169" s="218" t="s">
        <v>5</v>
      </c>
      <c r="R169" s="42"/>
      <c r="S169" s="42"/>
      <c r="T169" s="42"/>
      <c r="U169" s="42"/>
      <c r="V169" s="42"/>
      <c r="W169" s="42"/>
      <c r="X169" s="42"/>
      <c r="Y169" s="42"/>
      <c r="Z169" s="42"/>
      <c r="AA169" s="127"/>
      <c r="AB169" s="42"/>
      <c r="AC169" s="127"/>
      <c r="AD169" s="127"/>
      <c r="AE169" s="42"/>
      <c r="AF169" s="42"/>
      <c r="AG169" s="42"/>
      <c r="AH169" s="65"/>
      <c r="AI169" s="42"/>
      <c r="AJ169" s="65"/>
      <c r="AK169" s="127"/>
      <c r="AL169" s="139"/>
      <c r="AM169" s="42"/>
      <c r="AN169" s="65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3"/>
      <c r="BP169" s="43"/>
      <c r="BQ169" s="41">
        <v>3.439153439153439E-2</v>
      </c>
      <c r="BR169" s="138">
        <f>BQ169/$BQ$175</f>
        <v>5.5555555555555559E-2</v>
      </c>
      <c r="BS169" s="42"/>
      <c r="BT169" s="43"/>
      <c r="BU169" s="43"/>
      <c r="BV169" s="42"/>
      <c r="BW169" s="42"/>
      <c r="BX169" s="44"/>
      <c r="BY169" s="42"/>
      <c r="BZ169" s="269"/>
      <c r="CA169" s="269"/>
      <c r="CB169" s="269"/>
      <c r="CC169" s="269"/>
      <c r="CD169" s="269"/>
      <c r="CE169" s="269"/>
      <c r="CF169" s="269"/>
      <c r="CG169" s="269"/>
      <c r="CH169" s="269"/>
      <c r="CI169" s="269"/>
      <c r="CJ169" s="269"/>
      <c r="CK169" s="269"/>
      <c r="CL169" s="269"/>
      <c r="CM169" s="269"/>
      <c r="CN169" s="269"/>
      <c r="CO169" s="269"/>
      <c r="CP169" s="269"/>
      <c r="CQ169" s="269"/>
      <c r="CR169" s="269"/>
    </row>
    <row r="170" spans="1:96" s="1" customFormat="1" ht="18" x14ac:dyDescent="0.3">
      <c r="A170" s="269"/>
      <c r="B170" s="441"/>
      <c r="C170" s="399" t="s">
        <v>13</v>
      </c>
      <c r="D170" s="400"/>
      <c r="E170" s="401">
        <f t="shared" ref="E170:L170" si="27">$E$169-E160</f>
        <v>0</v>
      </c>
      <c r="F170" s="401">
        <f>$E$169-F160</f>
        <v>-40</v>
      </c>
      <c r="G170" s="401">
        <f>$E$169-G160</f>
        <v>-45</v>
      </c>
      <c r="H170" s="401">
        <f>$E$169-H160</f>
        <v>-100</v>
      </c>
      <c r="I170" s="401">
        <f t="shared" si="27"/>
        <v>-100</v>
      </c>
      <c r="J170" s="401">
        <f t="shared" ref="J170" si="28">$E$169-J160</f>
        <v>-200</v>
      </c>
      <c r="K170" s="401">
        <f t="shared" si="27"/>
        <v>-230</v>
      </c>
      <c r="L170" s="402">
        <f t="shared" si="27"/>
        <v>-360</v>
      </c>
      <c r="M170" s="295"/>
      <c r="N170" s="296"/>
      <c r="O170" s="297"/>
      <c r="P170" s="269"/>
      <c r="Q170" s="218" t="s">
        <v>5</v>
      </c>
      <c r="R170" s="42"/>
      <c r="S170" s="42"/>
      <c r="T170" s="42"/>
      <c r="U170" s="42"/>
      <c r="V170" s="42"/>
      <c r="W170" s="42"/>
      <c r="X170" s="42"/>
      <c r="Y170" s="42"/>
      <c r="Z170" s="42"/>
      <c r="AA170" s="127"/>
      <c r="AB170" s="42"/>
      <c r="AC170" s="127"/>
      <c r="AD170" s="127"/>
      <c r="AE170" s="42"/>
      <c r="AF170" s="42"/>
      <c r="AG170" s="42"/>
      <c r="AH170" s="65"/>
      <c r="AI170" s="42"/>
      <c r="AJ170" s="65"/>
      <c r="AK170" s="127"/>
      <c r="AL170" s="139"/>
      <c r="AM170" s="42"/>
      <c r="AN170" s="65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3"/>
      <c r="BP170" s="43"/>
      <c r="BQ170" s="138">
        <v>3.968253968253968E-2</v>
      </c>
      <c r="BR170" s="138">
        <f>BQ170/$BQ$175</f>
        <v>6.4102564102564111E-2</v>
      </c>
      <c r="BS170" s="42"/>
      <c r="BT170" s="43"/>
      <c r="BU170" s="43"/>
      <c r="BV170" s="42"/>
      <c r="BW170" s="42"/>
      <c r="BX170" s="44"/>
      <c r="BY170" s="42"/>
      <c r="BZ170" s="269"/>
      <c r="CA170" s="269"/>
      <c r="CB170" s="269"/>
      <c r="CC170" s="269"/>
      <c r="CD170" s="269"/>
      <c r="CE170" s="269"/>
      <c r="CF170" s="269"/>
      <c r="CG170" s="269"/>
      <c r="CH170" s="269"/>
      <c r="CI170" s="269"/>
      <c r="CJ170" s="269"/>
      <c r="CK170" s="269"/>
      <c r="CL170" s="269"/>
      <c r="CM170" s="269"/>
      <c r="CN170" s="269"/>
      <c r="CO170" s="269"/>
      <c r="CP170" s="269"/>
      <c r="CQ170" s="269"/>
      <c r="CR170" s="269"/>
    </row>
    <row r="171" spans="1:96" s="1" customFormat="1" thickBot="1" x14ac:dyDescent="0.35">
      <c r="A171" s="269"/>
      <c r="B171" s="442"/>
      <c r="C171" s="347" t="s">
        <v>275</v>
      </c>
      <c r="D171" s="348"/>
      <c r="E171" s="397">
        <f>IFERROR(E170/$E$169,)</f>
        <v>0</v>
      </c>
      <c r="F171" s="397">
        <f t="shared" ref="F171:L171" si="29">IFERROR(F170/$E$169,)</f>
        <v>0</v>
      </c>
      <c r="G171" s="397">
        <f t="shared" si="29"/>
        <v>0</v>
      </c>
      <c r="H171" s="397">
        <f t="shared" si="29"/>
        <v>0</v>
      </c>
      <c r="I171" s="397">
        <f t="shared" si="29"/>
        <v>0</v>
      </c>
      <c r="J171" s="397">
        <f t="shared" si="29"/>
        <v>0</v>
      </c>
      <c r="K171" s="397">
        <f t="shared" si="29"/>
        <v>0</v>
      </c>
      <c r="L171" s="398">
        <f t="shared" si="29"/>
        <v>0</v>
      </c>
      <c r="M171" s="295"/>
      <c r="N171" s="296"/>
      <c r="O171" s="297"/>
      <c r="P171" s="269"/>
      <c r="Q171" s="394"/>
      <c r="R171" s="42"/>
      <c r="S171" s="42"/>
      <c r="T171" s="42"/>
      <c r="U171" s="42"/>
      <c r="V171" s="42"/>
      <c r="W171" s="42"/>
      <c r="X171" s="42"/>
      <c r="Y171" s="42"/>
      <c r="Z171" s="42"/>
      <c r="AA171" s="127"/>
      <c r="AB171" s="42"/>
      <c r="AC171" s="127"/>
      <c r="AD171" s="127"/>
      <c r="AE171" s="42"/>
      <c r="AF171" s="42"/>
      <c r="AG171" s="42"/>
      <c r="AH171" s="65"/>
      <c r="AI171" s="42"/>
      <c r="AJ171" s="65"/>
      <c r="AK171" s="127"/>
      <c r="AL171" s="139"/>
      <c r="AM171" s="42"/>
      <c r="AN171" s="65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3"/>
      <c r="BP171" s="43"/>
      <c r="BQ171" s="138"/>
      <c r="BR171" s="138"/>
      <c r="BS171" s="42"/>
      <c r="BT171" s="43"/>
      <c r="BU171" s="43"/>
      <c r="BV171" s="42"/>
      <c r="BW171" s="42"/>
      <c r="BX171" s="44"/>
      <c r="BY171" s="42"/>
      <c r="BZ171" s="269"/>
      <c r="CA171" s="269"/>
      <c r="CB171" s="269"/>
      <c r="CC171" s="269"/>
      <c r="CD171" s="269"/>
      <c r="CE171" s="269"/>
      <c r="CF171" s="269"/>
      <c r="CG171" s="269"/>
      <c r="CH171" s="269"/>
      <c r="CI171" s="269"/>
      <c r="CJ171" s="269"/>
      <c r="CK171" s="269"/>
      <c r="CL171" s="269"/>
      <c r="CM171" s="269"/>
      <c r="CN171" s="269"/>
      <c r="CO171" s="269"/>
      <c r="CP171" s="269"/>
      <c r="CQ171" s="269"/>
      <c r="CR171" s="269"/>
    </row>
    <row r="172" spans="1:96" s="2" customFormat="1" ht="19.5" thickBot="1" x14ac:dyDescent="0.35">
      <c r="A172" s="255"/>
      <c r="B172" s="307"/>
      <c r="C172" s="255"/>
      <c r="D172" s="255"/>
      <c r="E172" s="286"/>
      <c r="F172" s="286"/>
      <c r="G172" s="286"/>
      <c r="H172" s="286"/>
      <c r="I172" s="286"/>
      <c r="J172" s="286"/>
      <c r="K172" s="286"/>
      <c r="L172" s="286"/>
      <c r="M172" s="277"/>
      <c r="N172" s="278"/>
      <c r="O172" s="279"/>
      <c r="P172" s="255"/>
      <c r="Q172" s="223"/>
      <c r="R172" s="47"/>
      <c r="S172" s="47"/>
      <c r="T172" s="47"/>
      <c r="U172" s="47"/>
      <c r="V172" s="47"/>
      <c r="W172" s="47"/>
      <c r="X172" s="47"/>
      <c r="Y172" s="47"/>
      <c r="Z172" s="47"/>
      <c r="AA172" s="127"/>
      <c r="AB172" s="47"/>
      <c r="AC172" s="127"/>
      <c r="AD172" s="127"/>
      <c r="AE172" s="47"/>
      <c r="AF172" s="47"/>
      <c r="AG172" s="47"/>
      <c r="AH172" s="67"/>
      <c r="AI172" s="47"/>
      <c r="AJ172" s="67"/>
      <c r="AK172" s="127"/>
      <c r="AL172" s="139"/>
      <c r="AM172" s="47"/>
      <c r="AN172" s="6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8"/>
      <c r="BJ172" s="48"/>
      <c r="BK172" s="47"/>
      <c r="BL172" s="47"/>
      <c r="BM172" s="48"/>
      <c r="BN172" s="48"/>
      <c r="BO172" s="47"/>
      <c r="BP172" s="47"/>
      <c r="BQ172" s="41">
        <v>4.7619047619047616E-2</v>
      </c>
      <c r="BR172" s="138">
        <f>BQ172/$BQ$175</f>
        <v>7.6923076923076927E-2</v>
      </c>
      <c r="BS172" s="47"/>
      <c r="BT172" s="47"/>
      <c r="BU172" s="47"/>
      <c r="BV172" s="48"/>
      <c r="BW172" s="48"/>
      <c r="BX172" s="49"/>
      <c r="BY172" s="47"/>
      <c r="BZ172" s="255"/>
      <c r="CA172" s="255"/>
      <c r="CB172" s="255"/>
      <c r="CC172" s="255"/>
      <c r="CD172" s="255"/>
      <c r="CE172" s="255"/>
      <c r="CF172" s="255"/>
      <c r="CG172" s="255"/>
      <c r="CH172" s="255"/>
      <c r="CI172" s="255"/>
      <c r="CJ172" s="255"/>
      <c r="CK172" s="255"/>
      <c r="CL172" s="255"/>
      <c r="CM172" s="255"/>
      <c r="CN172" s="255"/>
      <c r="CO172" s="255"/>
      <c r="CP172" s="255"/>
      <c r="CQ172" s="255"/>
      <c r="CR172" s="255"/>
    </row>
    <row r="173" spans="1:96" s="1" customFormat="1" ht="18" customHeight="1" x14ac:dyDescent="0.3">
      <c r="A173" s="269"/>
      <c r="B173" s="443" t="s">
        <v>11</v>
      </c>
      <c r="C173" s="395" t="s">
        <v>152</v>
      </c>
      <c r="D173" s="346"/>
      <c r="E173" s="351">
        <f t="shared" ref="E173:L173" si="30">SUMIFS($N$50:$N$156,$B$50:$B$156,"",E$50:E$156,"µ")</f>
        <v>0</v>
      </c>
      <c r="F173" s="351">
        <f t="shared" si="30"/>
        <v>54.89</v>
      </c>
      <c r="G173" s="351">
        <f t="shared" si="30"/>
        <v>96.86999999999999</v>
      </c>
      <c r="H173" s="351">
        <f t="shared" si="30"/>
        <v>186.81000000000003</v>
      </c>
      <c r="I173" s="351">
        <f t="shared" si="30"/>
        <v>157.85999999999999</v>
      </c>
      <c r="J173" s="351">
        <f t="shared" si="30"/>
        <v>385.40000000000003</v>
      </c>
      <c r="K173" s="351">
        <f t="shared" si="30"/>
        <v>415.40000000000003</v>
      </c>
      <c r="L173" s="352">
        <f t="shared" si="30"/>
        <v>607.95999999999992</v>
      </c>
      <c r="M173" s="295"/>
      <c r="N173" s="296"/>
      <c r="O173" s="297"/>
      <c r="P173" s="269"/>
      <c r="Q173" s="218" t="s">
        <v>5</v>
      </c>
      <c r="R173" s="42"/>
      <c r="S173" s="42"/>
      <c r="T173" s="42"/>
      <c r="U173" s="42"/>
      <c r="V173" s="42"/>
      <c r="W173" s="42"/>
      <c r="X173" s="42"/>
      <c r="Y173" s="42"/>
      <c r="Z173" s="42"/>
      <c r="AA173" s="127"/>
      <c r="AB173" s="45"/>
      <c r="AC173" s="127"/>
      <c r="AD173" s="127"/>
      <c r="AE173" s="45"/>
      <c r="AF173" s="42"/>
      <c r="AG173" s="45" t="s">
        <v>97</v>
      </c>
      <c r="AH173" s="66"/>
      <c r="AI173" s="45"/>
      <c r="AJ173" s="66"/>
      <c r="AK173" s="127"/>
      <c r="AL173" s="139"/>
      <c r="AM173" s="45"/>
      <c r="AN173" s="66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2"/>
      <c r="BH173" s="42"/>
      <c r="BI173" s="42"/>
      <c r="BJ173" s="42"/>
      <c r="BK173" s="42"/>
      <c r="BL173" s="42"/>
      <c r="BM173" s="42"/>
      <c r="BN173" s="42"/>
      <c r="BO173" s="43"/>
      <c r="BP173" s="43"/>
      <c r="BQ173" s="41">
        <v>5.1587301587301584E-2</v>
      </c>
      <c r="BR173" s="138">
        <f>BQ173/$BQ$175</f>
        <v>8.3333333333333343E-2</v>
      </c>
      <c r="BS173" s="42"/>
      <c r="BT173" s="43"/>
      <c r="BU173" s="43"/>
      <c r="BV173" s="42"/>
      <c r="BW173" s="42"/>
      <c r="BX173" s="44"/>
      <c r="BY173" s="42"/>
      <c r="BZ173" s="269"/>
      <c r="CA173" s="269"/>
      <c r="CB173" s="269"/>
      <c r="CC173" s="269"/>
      <c r="CD173" s="269"/>
      <c r="CE173" s="269"/>
      <c r="CF173" s="269"/>
      <c r="CG173" s="269"/>
      <c r="CH173" s="269"/>
      <c r="CI173" s="269"/>
      <c r="CJ173" s="269"/>
      <c r="CK173" s="269"/>
      <c r="CL173" s="269"/>
      <c r="CM173" s="269"/>
      <c r="CN173" s="269"/>
      <c r="CO173" s="269"/>
      <c r="CP173" s="269"/>
      <c r="CQ173" s="269"/>
      <c r="CR173" s="269"/>
    </row>
    <row r="174" spans="1:96" s="1" customFormat="1" thickBot="1" x14ac:dyDescent="0.35">
      <c r="A174" s="269"/>
      <c r="B174" s="444"/>
      <c r="C174" s="396" t="s">
        <v>192</v>
      </c>
      <c r="D174" s="348"/>
      <c r="E174" s="349">
        <f t="shared" ref="E174:L174" si="31">$E$169+E173</f>
        <v>0</v>
      </c>
      <c r="F174" s="349">
        <f>$E$169+F173</f>
        <v>54.89</v>
      </c>
      <c r="G174" s="349">
        <f>$E$169+G173</f>
        <v>96.86999999999999</v>
      </c>
      <c r="H174" s="349">
        <f>$E$169+H173</f>
        <v>186.81000000000003</v>
      </c>
      <c r="I174" s="349">
        <f t="shared" si="31"/>
        <v>157.85999999999999</v>
      </c>
      <c r="J174" s="349">
        <f t="shared" ref="J174" si="32">$E$169+J173</f>
        <v>385.40000000000003</v>
      </c>
      <c r="K174" s="349">
        <f t="shared" si="31"/>
        <v>415.40000000000003</v>
      </c>
      <c r="L174" s="350">
        <f t="shared" si="31"/>
        <v>607.95999999999992</v>
      </c>
      <c r="M174" s="295"/>
      <c r="N174" s="296"/>
      <c r="O174" s="297"/>
      <c r="P174" s="269"/>
      <c r="Q174" s="218" t="s">
        <v>5</v>
      </c>
      <c r="R174" s="42"/>
      <c r="S174" s="42"/>
      <c r="T174" s="42"/>
      <c r="U174" s="42"/>
      <c r="V174" s="42"/>
      <c r="W174" s="42"/>
      <c r="X174" s="42"/>
      <c r="Y174" s="42"/>
      <c r="Z174" s="42" t="s">
        <v>96</v>
      </c>
      <c r="AA174" s="127"/>
      <c r="AB174" s="42"/>
      <c r="AC174" s="127"/>
      <c r="AD174" s="127"/>
      <c r="AE174" s="42"/>
      <c r="AF174" s="42"/>
      <c r="AG174" s="42" t="s">
        <v>96</v>
      </c>
      <c r="AH174" s="65"/>
      <c r="AI174" s="42"/>
      <c r="AJ174" s="65"/>
      <c r="AK174" s="127"/>
      <c r="AL174" s="139"/>
      <c r="AM174" s="42"/>
      <c r="AN174" s="65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3"/>
      <c r="BP174" s="43"/>
      <c r="BQ174" s="41">
        <v>0.23809523809523808</v>
      </c>
      <c r="BR174" s="138">
        <f>BQ174/$BQ$175</f>
        <v>0.38461538461538464</v>
      </c>
      <c r="BS174" s="42"/>
      <c r="BT174" s="43"/>
      <c r="BU174" s="43"/>
      <c r="BV174" s="42"/>
      <c r="BW174" s="42"/>
      <c r="BX174" s="44"/>
      <c r="BY174" s="42"/>
      <c r="BZ174" s="269"/>
      <c r="CA174" s="269"/>
      <c r="CB174" s="269"/>
      <c r="CC174" s="269"/>
      <c r="CD174" s="269"/>
      <c r="CE174" s="269"/>
      <c r="CF174" s="269"/>
      <c r="CG174" s="269"/>
      <c r="CH174" s="269"/>
      <c r="CI174" s="269"/>
      <c r="CJ174" s="269"/>
      <c r="CK174" s="269"/>
      <c r="CL174" s="269"/>
      <c r="CM174" s="269"/>
      <c r="CN174" s="269"/>
      <c r="CO174" s="269"/>
      <c r="CP174" s="269"/>
      <c r="CQ174" s="269"/>
      <c r="CR174" s="269"/>
    </row>
    <row r="175" spans="1:96" s="1" customFormat="1" ht="18" x14ac:dyDescent="0.3">
      <c r="A175" s="269"/>
      <c r="B175" s="443" t="s">
        <v>276</v>
      </c>
      <c r="C175" s="399" t="s">
        <v>153</v>
      </c>
      <c r="D175" s="400"/>
      <c r="E175" s="401">
        <f t="shared" ref="E175:L175" si="33">E174-E160</f>
        <v>0</v>
      </c>
      <c r="F175" s="401">
        <f>F174-F160</f>
        <v>14.89</v>
      </c>
      <c r="G175" s="401">
        <f>G174-G160</f>
        <v>51.86999999999999</v>
      </c>
      <c r="H175" s="401">
        <f>H174-H160</f>
        <v>86.810000000000031</v>
      </c>
      <c r="I175" s="401">
        <f t="shared" si="33"/>
        <v>57.859999999999985</v>
      </c>
      <c r="J175" s="401">
        <f t="shared" ref="J175" si="34">J174-J160</f>
        <v>185.40000000000003</v>
      </c>
      <c r="K175" s="401">
        <f t="shared" si="33"/>
        <v>185.40000000000003</v>
      </c>
      <c r="L175" s="402">
        <f t="shared" si="33"/>
        <v>247.95999999999992</v>
      </c>
      <c r="M175" s="295"/>
      <c r="N175" s="296"/>
      <c r="O175" s="297"/>
      <c r="P175" s="269"/>
      <c r="Q175" s="218" t="s">
        <v>5</v>
      </c>
      <c r="R175" s="42"/>
      <c r="S175" s="42"/>
      <c r="T175" s="42"/>
      <c r="U175" s="42"/>
      <c r="V175" s="42"/>
      <c r="W175" s="42"/>
      <c r="X175" s="42"/>
      <c r="Y175" s="42"/>
      <c r="Z175" s="46">
        <f>Z183+AB184*AF183</f>
        <v>114449.10891089108</v>
      </c>
      <c r="AA175" s="42"/>
      <c r="AB175" s="42"/>
      <c r="AC175" s="42"/>
      <c r="AD175" s="42"/>
      <c r="AE175" s="42"/>
      <c r="AF175" s="42"/>
      <c r="AG175" s="46" t="e">
        <f>AK183+AK$209*#REF!</f>
        <v>#REF!</v>
      </c>
      <c r="AH175" s="65"/>
      <c r="AI175" s="42"/>
      <c r="AJ175" s="65"/>
      <c r="AK175" s="42"/>
      <c r="AL175" s="65"/>
      <c r="AM175" s="42"/>
      <c r="AN175" s="65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3"/>
      <c r="BP175" s="43"/>
      <c r="BQ175" s="41">
        <f>SUM(BQ160:BQ174)</f>
        <v>0.61904761904761896</v>
      </c>
      <c r="BR175" s="138">
        <f>BQ175/$BQ$175</f>
        <v>1</v>
      </c>
      <c r="BS175" s="42"/>
      <c r="BT175" s="43"/>
      <c r="BU175" s="43"/>
      <c r="BV175" s="42"/>
      <c r="BW175" s="42"/>
      <c r="BX175" s="44"/>
      <c r="BY175" s="42"/>
      <c r="BZ175" s="269"/>
      <c r="CA175" s="269"/>
      <c r="CB175" s="269"/>
      <c r="CC175" s="269"/>
      <c r="CD175" s="269"/>
      <c r="CE175" s="269"/>
      <c r="CF175" s="269"/>
      <c r="CG175" s="269"/>
      <c r="CH175" s="269"/>
      <c r="CI175" s="269"/>
      <c r="CJ175" s="269"/>
      <c r="CK175" s="269"/>
      <c r="CL175" s="269"/>
      <c r="CM175" s="269"/>
      <c r="CN175" s="269"/>
      <c r="CO175" s="269"/>
      <c r="CP175" s="269"/>
      <c r="CQ175" s="269"/>
      <c r="CR175" s="269"/>
    </row>
    <row r="176" spans="1:96" s="1" customFormat="1" thickBot="1" x14ac:dyDescent="0.35">
      <c r="A176" s="269"/>
      <c r="B176" s="444"/>
      <c r="C176" s="347" t="s">
        <v>275</v>
      </c>
      <c r="D176" s="348"/>
      <c r="E176" s="397">
        <f>IFERROR(E175/E174,)</f>
        <v>0</v>
      </c>
      <c r="F176" s="397">
        <f t="shared" ref="F176:L176" si="35">IFERROR(F175/F174,)</f>
        <v>0.27126981235197667</v>
      </c>
      <c r="G176" s="397">
        <f t="shared" si="35"/>
        <v>0.53545989470424271</v>
      </c>
      <c r="H176" s="397">
        <f t="shared" si="35"/>
        <v>0.46469675070927691</v>
      </c>
      <c r="I176" s="397">
        <f t="shared" si="35"/>
        <v>0.36652730267325473</v>
      </c>
      <c r="J176" s="397">
        <f t="shared" si="35"/>
        <v>0.48105864037363782</v>
      </c>
      <c r="K176" s="397">
        <f t="shared" si="35"/>
        <v>0.4463168030813674</v>
      </c>
      <c r="L176" s="398">
        <f t="shared" si="35"/>
        <v>0.4078557799855253</v>
      </c>
      <c r="M176" s="295"/>
      <c r="N176" s="296"/>
      <c r="O176" s="297"/>
      <c r="P176" s="269"/>
      <c r="Q176" s="394"/>
      <c r="R176" s="42"/>
      <c r="S176" s="42"/>
      <c r="T176" s="42"/>
      <c r="U176" s="42"/>
      <c r="V176" s="42"/>
      <c r="W176" s="42"/>
      <c r="X176" s="42"/>
      <c r="Y176" s="42"/>
      <c r="Z176" s="42"/>
      <c r="AA176" s="127"/>
      <c r="AB176" s="42"/>
      <c r="AC176" s="127"/>
      <c r="AD176" s="127"/>
      <c r="AE176" s="42"/>
      <c r="AF176" s="42"/>
      <c r="AG176" s="42"/>
      <c r="AH176" s="65"/>
      <c r="AI176" s="42"/>
      <c r="AJ176" s="65"/>
      <c r="AK176" s="127"/>
      <c r="AL176" s="139"/>
      <c r="AM176" s="42"/>
      <c r="AN176" s="65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3"/>
      <c r="BP176" s="43"/>
      <c r="BQ176" s="138"/>
      <c r="BR176" s="138"/>
      <c r="BS176" s="42"/>
      <c r="BT176" s="43"/>
      <c r="BU176" s="43"/>
      <c r="BV176" s="42"/>
      <c r="BW176" s="42"/>
      <c r="BX176" s="44"/>
      <c r="BY176" s="42"/>
      <c r="BZ176" s="269"/>
      <c r="CA176" s="269"/>
      <c r="CB176" s="269"/>
      <c r="CC176" s="269"/>
      <c r="CD176" s="269"/>
      <c r="CE176" s="269"/>
      <c r="CF176" s="269"/>
      <c r="CG176" s="269"/>
      <c r="CH176" s="269"/>
      <c r="CI176" s="269"/>
      <c r="CJ176" s="269"/>
      <c r="CK176" s="269"/>
      <c r="CL176" s="269"/>
      <c r="CM176" s="269"/>
      <c r="CN176" s="269"/>
      <c r="CO176" s="269"/>
      <c r="CP176" s="269"/>
      <c r="CQ176" s="269"/>
      <c r="CR176" s="269"/>
    </row>
    <row r="177" spans="1:96" s="2" customFormat="1" x14ac:dyDescent="0.3">
      <c r="A177" s="255"/>
      <c r="B177" s="307"/>
      <c r="C177" s="255"/>
      <c r="D177" s="255"/>
      <c r="E177" s="286"/>
      <c r="F177" s="286"/>
      <c r="G177" s="286"/>
      <c r="H177" s="286"/>
      <c r="I177" s="286"/>
      <c r="J177" s="286"/>
      <c r="K177" s="286"/>
      <c r="L177" s="286"/>
      <c r="M177" s="277"/>
      <c r="N177" s="278"/>
      <c r="O177" s="279"/>
      <c r="P177" s="255"/>
      <c r="Q177" s="223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8"/>
      <c r="AE177" s="47"/>
      <c r="AF177" s="47"/>
      <c r="AG177" s="47"/>
      <c r="AH177" s="67"/>
      <c r="AI177" s="47"/>
      <c r="AJ177" s="67"/>
      <c r="AK177" s="47"/>
      <c r="AL177" s="67"/>
      <c r="AM177" s="47"/>
      <c r="AN177" s="6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8"/>
      <c r="BJ177" s="48"/>
      <c r="BK177" s="47"/>
      <c r="BL177" s="47"/>
      <c r="BM177" s="48"/>
      <c r="BN177" s="48"/>
      <c r="BO177" s="47"/>
      <c r="BP177" s="47"/>
      <c r="BQ177" s="48"/>
      <c r="BR177" s="48"/>
      <c r="BS177" s="47"/>
      <c r="BT177" s="47"/>
      <c r="BU177" s="47"/>
      <c r="BV177" s="48"/>
      <c r="BW177" s="48"/>
      <c r="BX177" s="49"/>
      <c r="BY177" s="47"/>
      <c r="BZ177" s="255"/>
      <c r="CA177" s="255"/>
      <c r="CB177" s="255"/>
      <c r="CC177" s="255"/>
      <c r="CD177" s="255"/>
      <c r="CE177" s="255"/>
      <c r="CF177" s="255"/>
      <c r="CG177" s="255"/>
      <c r="CH177" s="255"/>
      <c r="CI177" s="255"/>
      <c r="CJ177" s="255"/>
      <c r="CK177" s="255"/>
      <c r="CL177" s="255"/>
      <c r="CM177" s="255"/>
      <c r="CN177" s="255"/>
      <c r="CO177" s="255"/>
      <c r="CP177" s="255"/>
      <c r="CQ177" s="255"/>
      <c r="CR177" s="255"/>
    </row>
    <row r="178" spans="1:96" s="2" customFormat="1" collapsed="1" x14ac:dyDescent="0.3">
      <c r="A178" s="270"/>
      <c r="B178" s="255"/>
      <c r="C178" s="255"/>
      <c r="D178" s="255"/>
      <c r="E178" s="286"/>
      <c r="F178" s="286"/>
      <c r="G178" s="286"/>
      <c r="H178" s="308"/>
      <c r="I178" s="286"/>
      <c r="J178" s="308"/>
      <c r="K178" s="308"/>
      <c r="L178" s="280" t="s">
        <v>188</v>
      </c>
      <c r="M178" s="298"/>
      <c r="N178" s="299"/>
      <c r="O178" s="300"/>
      <c r="P178" s="301"/>
      <c r="Q178" s="224"/>
      <c r="R178" s="47"/>
      <c r="S178" s="47"/>
      <c r="T178" s="47"/>
      <c r="U178" s="47"/>
      <c r="V178" s="47"/>
      <c r="W178" s="47"/>
      <c r="X178" s="47"/>
      <c r="Y178" s="47"/>
      <c r="Z178" s="448" t="s">
        <v>133</v>
      </c>
      <c r="AA178" s="448"/>
      <c r="AB178" s="47"/>
      <c r="AC178" s="47"/>
      <c r="AD178" s="48"/>
      <c r="AE178" s="47"/>
      <c r="AF178" s="47"/>
      <c r="AG178" s="445" t="s">
        <v>130</v>
      </c>
      <c r="AH178" s="446"/>
      <c r="AI178" s="446"/>
      <c r="AJ178" s="447"/>
      <c r="AK178" s="445" t="s">
        <v>131</v>
      </c>
      <c r="AL178" s="446"/>
      <c r="AM178" s="446"/>
      <c r="AN178" s="447"/>
      <c r="AO178" s="47"/>
      <c r="AP178" s="47"/>
      <c r="AQ178" s="439" t="s">
        <v>273</v>
      </c>
      <c r="AR178" s="439"/>
      <c r="AS178" s="439"/>
      <c r="AT178" s="439"/>
      <c r="AU178" s="439"/>
      <c r="AV178" s="439"/>
      <c r="AW178" s="439"/>
      <c r="AX178" s="439"/>
      <c r="AY178" s="439" t="s">
        <v>191</v>
      </c>
      <c r="AZ178" s="439"/>
      <c r="BA178" s="439"/>
      <c r="BB178" s="439"/>
      <c r="BC178" s="439"/>
      <c r="BD178" s="439"/>
      <c r="BE178" s="439"/>
      <c r="BF178" s="439"/>
      <c r="BG178" s="465" t="s">
        <v>122</v>
      </c>
      <c r="BH178" s="466"/>
      <c r="BI178" s="466"/>
      <c r="BJ178" s="467"/>
      <c r="BK178" s="465" t="s">
        <v>52</v>
      </c>
      <c r="BL178" s="466"/>
      <c r="BM178" s="466"/>
      <c r="BN178" s="467"/>
      <c r="BO178" s="465" t="s">
        <v>54</v>
      </c>
      <c r="BP178" s="466"/>
      <c r="BQ178" s="466"/>
      <c r="BR178" s="466"/>
      <c r="BS178" s="439" t="s">
        <v>53</v>
      </c>
      <c r="BT178" s="439"/>
      <c r="BU178" s="439"/>
      <c r="BV178" s="439"/>
      <c r="BW178" s="439"/>
      <c r="BX178" s="439" t="s">
        <v>55</v>
      </c>
      <c r="BY178" s="439"/>
      <c r="BZ178" s="255"/>
      <c r="CA178" s="255"/>
      <c r="CB178" s="255"/>
      <c r="CC178" s="255"/>
      <c r="CD178" s="255"/>
      <c r="CE178" s="255"/>
      <c r="CF178" s="255"/>
      <c r="CG178" s="255"/>
      <c r="CH178" s="255"/>
      <c r="CI178" s="255"/>
      <c r="CJ178" s="255"/>
      <c r="CK178" s="255"/>
      <c r="CL178" s="255"/>
      <c r="CM178" s="255"/>
      <c r="CN178" s="255"/>
      <c r="CO178" s="255"/>
      <c r="CP178" s="255"/>
      <c r="CQ178" s="255"/>
      <c r="CR178" s="255"/>
    </row>
    <row r="179" spans="1:96" s="2" customFormat="1" x14ac:dyDescent="0.3">
      <c r="A179" s="270"/>
      <c r="B179" s="309" t="s">
        <v>242</v>
      </c>
      <c r="C179" s="255"/>
      <c r="D179" s="255"/>
      <c r="E179" s="286"/>
      <c r="F179" s="286"/>
      <c r="G179" s="355" t="s">
        <v>20</v>
      </c>
      <c r="H179" s="355" t="s">
        <v>19</v>
      </c>
      <c r="I179" s="356" t="s">
        <v>20</v>
      </c>
      <c r="J179" s="276" t="s">
        <v>20</v>
      </c>
      <c r="K179" s="378" t="s">
        <v>20</v>
      </c>
      <c r="L179" s="353" t="s">
        <v>20</v>
      </c>
      <c r="M179" s="354" t="s">
        <v>20</v>
      </c>
      <c r="N179" s="299"/>
      <c r="O179" s="300"/>
      <c r="P179" s="301"/>
      <c r="Q179" s="224"/>
      <c r="R179" s="47"/>
      <c r="S179" s="140" t="s">
        <v>36</v>
      </c>
      <c r="T179" s="140" t="s">
        <v>37</v>
      </c>
      <c r="U179" s="140" t="s">
        <v>18</v>
      </c>
      <c r="V179" s="140" t="s">
        <v>39</v>
      </c>
      <c r="W179" s="140" t="s">
        <v>38</v>
      </c>
      <c r="X179" s="140" t="s">
        <v>40</v>
      </c>
      <c r="Y179" s="140" t="s">
        <v>41</v>
      </c>
      <c r="Z179" s="140" t="s">
        <v>42</v>
      </c>
      <c r="AA179" s="140" t="s">
        <v>45</v>
      </c>
      <c r="AB179" s="140" t="s">
        <v>49</v>
      </c>
      <c r="AC179" s="140" t="s">
        <v>44</v>
      </c>
      <c r="AD179" s="141" t="s">
        <v>46</v>
      </c>
      <c r="AE179" s="140" t="s">
        <v>51</v>
      </c>
      <c r="AF179" s="140" t="s">
        <v>50</v>
      </c>
      <c r="AG179" s="140" t="s">
        <v>132</v>
      </c>
      <c r="AH179" s="142" t="s">
        <v>43</v>
      </c>
      <c r="AI179" s="140" t="s">
        <v>45</v>
      </c>
      <c r="AJ179" s="142" t="s">
        <v>43</v>
      </c>
      <c r="AK179" s="140" t="s">
        <v>132</v>
      </c>
      <c r="AL179" s="142" t="s">
        <v>43</v>
      </c>
      <c r="AM179" s="140" t="s">
        <v>45</v>
      </c>
      <c r="AN179" s="142" t="s">
        <v>43</v>
      </c>
      <c r="AO179" s="140" t="s">
        <v>47</v>
      </c>
      <c r="AP179" s="140" t="s">
        <v>48</v>
      </c>
      <c r="AQ179" s="376" t="s">
        <v>20</v>
      </c>
      <c r="AR179" s="376" t="s">
        <v>19</v>
      </c>
      <c r="AS179" s="376"/>
      <c r="AT179" s="376"/>
      <c r="AU179" s="376" t="s">
        <v>20</v>
      </c>
      <c r="AV179" s="376" t="s">
        <v>94</v>
      </c>
      <c r="AW179" s="141" t="s">
        <v>19</v>
      </c>
      <c r="AX179" s="141" t="s">
        <v>95</v>
      </c>
      <c r="AY179" s="376" t="s">
        <v>20</v>
      </c>
      <c r="AZ179" s="376" t="s">
        <v>19</v>
      </c>
      <c r="BA179" s="376"/>
      <c r="BB179" s="376"/>
      <c r="BC179" s="140" t="s">
        <v>20</v>
      </c>
      <c r="BD179" s="140" t="s">
        <v>94</v>
      </c>
      <c r="BE179" s="141" t="s">
        <v>19</v>
      </c>
      <c r="BF179" s="141" t="s">
        <v>95</v>
      </c>
      <c r="BG179" s="140" t="s">
        <v>20</v>
      </c>
      <c r="BH179" s="140" t="s">
        <v>94</v>
      </c>
      <c r="BI179" s="141" t="s">
        <v>19</v>
      </c>
      <c r="BJ179" s="141" t="s">
        <v>95</v>
      </c>
      <c r="BK179" s="140" t="s">
        <v>20</v>
      </c>
      <c r="BL179" s="140" t="s">
        <v>94</v>
      </c>
      <c r="BM179" s="141" t="s">
        <v>19</v>
      </c>
      <c r="BN179" s="141" t="s">
        <v>95</v>
      </c>
      <c r="BO179" s="140" t="s">
        <v>20</v>
      </c>
      <c r="BP179" s="140" t="s">
        <v>94</v>
      </c>
      <c r="BQ179" s="141" t="s">
        <v>19</v>
      </c>
      <c r="BR179" s="141" t="s">
        <v>95</v>
      </c>
      <c r="BS179" s="140" t="s">
        <v>123</v>
      </c>
      <c r="BT179" s="140" t="s">
        <v>20</v>
      </c>
      <c r="BU179" s="140" t="s">
        <v>94</v>
      </c>
      <c r="BV179" s="141" t="s">
        <v>19</v>
      </c>
      <c r="BW179" s="141" t="s">
        <v>95</v>
      </c>
      <c r="BX179" s="143" t="s">
        <v>20</v>
      </c>
      <c r="BY179" s="140" t="s">
        <v>56</v>
      </c>
      <c r="BZ179" s="255"/>
      <c r="CA179" s="255"/>
      <c r="CB179" s="255"/>
      <c r="CC179" s="255"/>
      <c r="CD179" s="255"/>
      <c r="CE179" s="255"/>
      <c r="CF179" s="255"/>
      <c r="CG179" s="255"/>
      <c r="CH179" s="255"/>
      <c r="CI179" s="255"/>
      <c r="CJ179" s="255"/>
      <c r="CK179" s="255"/>
      <c r="CL179" s="255"/>
      <c r="CM179" s="255"/>
      <c r="CN179" s="255"/>
      <c r="CO179" s="255"/>
      <c r="CP179" s="255"/>
      <c r="CQ179" s="255"/>
      <c r="CR179" s="255"/>
    </row>
    <row r="180" spans="1:96" s="144" customFormat="1" x14ac:dyDescent="0.3">
      <c r="A180" s="271"/>
      <c r="B180" s="280"/>
      <c r="C180" s="280"/>
      <c r="D180" s="280"/>
      <c r="E180" s="280" t="s">
        <v>36</v>
      </c>
      <c r="F180" s="280" t="s">
        <v>18</v>
      </c>
      <c r="G180" s="355" t="s">
        <v>100</v>
      </c>
      <c r="H180" s="355" t="s">
        <v>100</v>
      </c>
      <c r="I180" s="356" t="s">
        <v>98</v>
      </c>
      <c r="J180" s="276" t="s">
        <v>99</v>
      </c>
      <c r="K180" s="378" t="s">
        <v>158</v>
      </c>
      <c r="L180" s="353" t="s">
        <v>187</v>
      </c>
      <c r="M180" s="354" t="s">
        <v>263</v>
      </c>
      <c r="N180" s="299"/>
      <c r="O180" s="302"/>
      <c r="P180" s="301"/>
      <c r="Q180" s="225"/>
      <c r="R180" s="145"/>
      <c r="S180" s="146">
        <v>0</v>
      </c>
      <c r="T180" s="147">
        <f>WEEKDAY(U180)</f>
        <v>4</v>
      </c>
      <c r="U180" s="148">
        <v>44468</v>
      </c>
      <c r="V180" s="149">
        <v>0.66666666666666663</v>
      </c>
      <c r="W180" s="150">
        <f t="shared" ref="W180:W202" si="36">U180+V180</f>
        <v>44468.666666666664</v>
      </c>
      <c r="X180" s="151"/>
      <c r="Y180" s="151"/>
      <c r="Z180" s="152">
        <v>0</v>
      </c>
      <c r="AA180" s="76">
        <v>0</v>
      </c>
      <c r="AB180" s="153"/>
      <c r="AC180" s="154"/>
      <c r="AD180" s="155"/>
      <c r="AE180" s="156"/>
      <c r="AF180" s="155"/>
      <c r="AG180" s="154">
        <f>AL180</f>
        <v>0</v>
      </c>
      <c r="AH180" s="157"/>
      <c r="AI180" s="158"/>
      <c r="AJ180" s="158"/>
      <c r="AK180" s="154"/>
      <c r="AL180" s="157"/>
      <c r="AM180" s="158"/>
      <c r="AN180" s="158"/>
      <c r="AO180" s="154"/>
      <c r="AP180" s="154"/>
      <c r="AQ180" s="152">
        <v>0</v>
      </c>
      <c r="AR180" s="76">
        <v>0</v>
      </c>
      <c r="AS180" s="379"/>
      <c r="AT180" s="379"/>
      <c r="AU180" s="154"/>
      <c r="AV180" s="154"/>
      <c r="AW180" s="154"/>
      <c r="AX180" s="154"/>
      <c r="AY180" s="152">
        <v>0</v>
      </c>
      <c r="AZ180" s="76">
        <v>0</v>
      </c>
      <c r="BA180" s="379"/>
      <c r="BB180" s="379"/>
      <c r="BC180" s="154"/>
      <c r="BD180" s="154"/>
      <c r="BE180" s="154"/>
      <c r="BF180" s="154"/>
      <c r="BG180" s="159">
        <v>0</v>
      </c>
      <c r="BH180" s="159">
        <v>0</v>
      </c>
      <c r="BI180" s="160">
        <v>0</v>
      </c>
      <c r="BJ180" s="160"/>
      <c r="BK180" s="159">
        <v>0</v>
      </c>
      <c r="BL180" s="159">
        <v>0</v>
      </c>
      <c r="BM180" s="160">
        <v>0</v>
      </c>
      <c r="BN180" s="160"/>
      <c r="BO180" s="159">
        <f>AO180/$Z$202</f>
        <v>0</v>
      </c>
      <c r="BP180" s="159">
        <f>BO180</f>
        <v>0</v>
      </c>
      <c r="BQ180" s="160">
        <f>BG180/$AA$207</f>
        <v>0</v>
      </c>
      <c r="BR180" s="160"/>
      <c r="BS180" s="161">
        <f>Vergleich!C3</f>
        <v>0</v>
      </c>
      <c r="BT180" s="88"/>
      <c r="BU180" s="159">
        <f>BT180</f>
        <v>0</v>
      </c>
      <c r="BV180" s="162"/>
      <c r="BW180" s="160"/>
      <c r="BX180" s="161"/>
      <c r="BY180" s="159"/>
      <c r="BZ180" s="280"/>
      <c r="CA180" s="280"/>
      <c r="CB180" s="280"/>
      <c r="CC180" s="280"/>
      <c r="CD180" s="280"/>
      <c r="CE180" s="280"/>
      <c r="CF180" s="280"/>
      <c r="CG180" s="280"/>
      <c r="CH180" s="280"/>
      <c r="CI180" s="280"/>
      <c r="CJ180" s="280"/>
      <c r="CK180" s="280"/>
      <c r="CL180" s="280"/>
      <c r="CM180" s="280"/>
      <c r="CN180" s="280"/>
      <c r="CO180" s="280"/>
      <c r="CP180" s="280"/>
      <c r="CQ180" s="280"/>
      <c r="CR180" s="280"/>
    </row>
    <row r="181" spans="1:96" s="163" customFormat="1" x14ac:dyDescent="0.3">
      <c r="A181" s="272"/>
      <c r="B181" s="281"/>
      <c r="C181" s="281"/>
      <c r="D181" s="281"/>
      <c r="E181" s="276">
        <v>0</v>
      </c>
      <c r="F181" s="357">
        <f>W180</f>
        <v>44468.666666666664</v>
      </c>
      <c r="G181" s="310">
        <f>Z180</f>
        <v>0</v>
      </c>
      <c r="H181" s="390">
        <f>AA180</f>
        <v>0</v>
      </c>
      <c r="I181" s="311">
        <f>AG180</f>
        <v>0</v>
      </c>
      <c r="J181" s="311">
        <f>AK180</f>
        <v>0</v>
      </c>
      <c r="K181" s="281">
        <v>0</v>
      </c>
      <c r="L181" s="281">
        <v>0</v>
      </c>
      <c r="M181" s="312">
        <f>AY180</f>
        <v>0</v>
      </c>
      <c r="N181" s="299"/>
      <c r="O181" s="303"/>
      <c r="P181" s="301"/>
      <c r="Q181" s="226"/>
      <c r="R181" s="98"/>
      <c r="S181" s="146">
        <v>0</v>
      </c>
      <c r="T181" s="147">
        <f>WEEKDAY(U181)</f>
        <v>4</v>
      </c>
      <c r="U181" s="148">
        <f>U180</f>
        <v>44468</v>
      </c>
      <c r="V181" s="149">
        <v>0.99998842592592585</v>
      </c>
      <c r="W181" s="150">
        <f t="shared" si="36"/>
        <v>44468.999988425923</v>
      </c>
      <c r="X181" s="151">
        <f t="shared" ref="X181:X202" si="37">W181-$W$180</f>
        <v>0.333321759258979</v>
      </c>
      <c r="Y181" s="151"/>
      <c r="Z181" s="164">
        <v>70783</v>
      </c>
      <c r="AA181" s="165">
        <v>291</v>
      </c>
      <c r="AB181" s="166"/>
      <c r="AC181" s="154"/>
      <c r="AD181" s="155">
        <f t="shared" ref="AD181:AD202" si="38">Z181/AA181</f>
        <v>243.2405498281787</v>
      </c>
      <c r="AE181" s="156"/>
      <c r="AF181" s="155"/>
      <c r="AG181" s="154">
        <f>Z181</f>
        <v>70783</v>
      </c>
      <c r="AH181" s="157">
        <f>Z181-AG181</f>
        <v>0</v>
      </c>
      <c r="AI181" s="167">
        <f>AB181</f>
        <v>0</v>
      </c>
      <c r="AJ181" s="168"/>
      <c r="AK181" s="154">
        <f>AG181</f>
        <v>70783</v>
      </c>
      <c r="AL181" s="157">
        <f t="shared" ref="AL181:AL182" si="39">Z181-AK181</f>
        <v>0</v>
      </c>
      <c r="AM181" s="168">
        <f>AI181</f>
        <v>0</v>
      </c>
      <c r="AN181" s="168"/>
      <c r="AO181" s="154">
        <f>AC181/X181</f>
        <v>0</v>
      </c>
      <c r="AP181" s="154">
        <f t="shared" ref="AP181:AP202" si="40">Z181/X181</f>
        <v>212356.373485369</v>
      </c>
      <c r="AQ181" s="164">
        <f>Z181</f>
        <v>70783</v>
      </c>
      <c r="AR181" s="165">
        <f>AA181</f>
        <v>291</v>
      </c>
      <c r="AS181" s="380">
        <f t="shared" ref="AS181:AT181" si="41">AB181</f>
        <v>0</v>
      </c>
      <c r="AT181" s="380">
        <f t="shared" si="41"/>
        <v>0</v>
      </c>
      <c r="AU181" s="154"/>
      <c r="AV181" s="154"/>
      <c r="AW181" s="154"/>
      <c r="AX181" s="154"/>
      <c r="AY181" s="164">
        <v>75090</v>
      </c>
      <c r="AZ181" s="165">
        <v>510</v>
      </c>
      <c r="BA181" s="380"/>
      <c r="BB181" s="380"/>
      <c r="BC181" s="154"/>
      <c r="BD181" s="154"/>
      <c r="BE181" s="154"/>
      <c r="BF181" s="154"/>
      <c r="BG181" s="159">
        <v>0</v>
      </c>
      <c r="BH181" s="159">
        <v>0</v>
      </c>
      <c r="BI181" s="160">
        <v>0</v>
      </c>
      <c r="BJ181" s="160">
        <v>0</v>
      </c>
      <c r="BK181" s="159">
        <v>0.24557122124840888</v>
      </c>
      <c r="BL181" s="159">
        <v>0.24557122124840888</v>
      </c>
      <c r="BM181" s="160">
        <v>0.24159021406727829</v>
      </c>
      <c r="BN181" s="160">
        <v>0.24159021406727829</v>
      </c>
      <c r="BO181" s="159">
        <v>0.20305967479960829</v>
      </c>
      <c r="BP181" s="159">
        <f>BP180+BO181</f>
        <v>0.20305967479960829</v>
      </c>
      <c r="BQ181" s="160">
        <v>0.18386243386243387</v>
      </c>
      <c r="BR181" s="160">
        <f>BQ181</f>
        <v>0.18386243386243387</v>
      </c>
      <c r="BS181" s="161"/>
      <c r="BT181" s="159">
        <v>0.20659234902558346</v>
      </c>
      <c r="BU181" s="159">
        <f>BU180+BT181</f>
        <v>0.20659234902558346</v>
      </c>
      <c r="BV181" s="160">
        <v>0.1729106628242075</v>
      </c>
      <c r="BW181" s="160"/>
      <c r="BX181" s="161"/>
      <c r="BY181" s="159"/>
      <c r="BZ181" s="281"/>
      <c r="CA181" s="281"/>
      <c r="CB181" s="281"/>
      <c r="CC181" s="281"/>
      <c r="CD181" s="281"/>
      <c r="CE181" s="281"/>
      <c r="CF181" s="281"/>
      <c r="CG181" s="281"/>
      <c r="CH181" s="281"/>
      <c r="CI181" s="281"/>
      <c r="CJ181" s="281"/>
      <c r="CK181" s="281"/>
      <c r="CL181" s="281"/>
      <c r="CM181" s="281"/>
      <c r="CN181" s="281"/>
      <c r="CO181" s="281"/>
      <c r="CP181" s="281"/>
      <c r="CQ181" s="281"/>
      <c r="CR181" s="281"/>
    </row>
    <row r="182" spans="1:96" s="163" customFormat="1" x14ac:dyDescent="0.3">
      <c r="A182" s="272"/>
      <c r="B182" s="281"/>
      <c r="C182" s="281"/>
      <c r="D182" s="281"/>
      <c r="E182" s="276">
        <v>1</v>
      </c>
      <c r="F182" s="357">
        <f t="shared" ref="F182:F202" si="42">W182</f>
        <v>44469.666666666664</v>
      </c>
      <c r="G182" s="310">
        <f t="shared" ref="G182:G202" si="43">Z182</f>
        <v>82966</v>
      </c>
      <c r="H182" s="390">
        <f t="shared" ref="H182:H202" si="44">AA182</f>
        <v>341</v>
      </c>
      <c r="I182" s="311">
        <f t="shared" ref="I182:I201" si="45">AG182</f>
        <v>82966</v>
      </c>
      <c r="J182" s="311">
        <f t="shared" ref="J182:J202" si="46">AK182</f>
        <v>82966</v>
      </c>
      <c r="K182" s="312">
        <v>43437</v>
      </c>
      <c r="L182" s="312"/>
      <c r="M182" s="312">
        <f>AY182</f>
        <v>89735</v>
      </c>
      <c r="N182" s="299"/>
      <c r="O182" s="303"/>
      <c r="P182" s="301"/>
      <c r="Q182" s="226"/>
      <c r="R182" s="98"/>
      <c r="S182" s="169">
        <v>1</v>
      </c>
      <c r="T182" s="147" t="s">
        <v>17</v>
      </c>
      <c r="U182" s="148">
        <f>U180+1</f>
        <v>44469</v>
      </c>
      <c r="V182" s="149">
        <v>0.66666666666666663</v>
      </c>
      <c r="W182" s="150">
        <f t="shared" si="36"/>
        <v>44469.666666666664</v>
      </c>
      <c r="X182" s="151">
        <f t="shared" si="37"/>
        <v>1</v>
      </c>
      <c r="Y182" s="151">
        <f>X182-X180</f>
        <v>1</v>
      </c>
      <c r="Z182" s="164">
        <v>82966</v>
      </c>
      <c r="AA182" s="165">
        <v>341</v>
      </c>
      <c r="AB182" s="166">
        <f>AA182-AA180</f>
        <v>341</v>
      </c>
      <c r="AC182" s="154">
        <f>Z182-Z180</f>
        <v>82966</v>
      </c>
      <c r="AD182" s="155">
        <f t="shared" si="38"/>
        <v>243.30205278592376</v>
      </c>
      <c r="AE182" s="156">
        <f>(AC182-Z180)/(AB182-AA180)</f>
        <v>243.30205278592376</v>
      </c>
      <c r="AF182" s="156">
        <f>SUM(AC181:AC182)/SUM(AB181:AB182)</f>
        <v>243.30205278592376</v>
      </c>
      <c r="AG182" s="154">
        <f>Z182</f>
        <v>82966</v>
      </c>
      <c r="AH182" s="157">
        <f>Z182-AG182</f>
        <v>0</v>
      </c>
      <c r="AI182" s="168">
        <f>AB182</f>
        <v>341</v>
      </c>
      <c r="AJ182" s="170">
        <f t="shared" ref="AJ182:AJ188" si="47">AA182-AI182</f>
        <v>0</v>
      </c>
      <c r="AK182" s="154">
        <f>AG182</f>
        <v>82966</v>
      </c>
      <c r="AL182" s="157">
        <f t="shared" si="39"/>
        <v>0</v>
      </c>
      <c r="AM182" s="168">
        <f>AI182</f>
        <v>341</v>
      </c>
      <c r="AN182" s="170">
        <f t="shared" ref="AN182:AN201" si="48">AA182-AM182</f>
        <v>0</v>
      </c>
      <c r="AO182" s="154">
        <f t="shared" ref="AO182:AO202" si="49">AC182/Y182</f>
        <v>82966</v>
      </c>
      <c r="AP182" s="154">
        <f t="shared" si="40"/>
        <v>82966</v>
      </c>
      <c r="AQ182" s="164">
        <f t="shared" ref="AQ182:AQ202" si="50">Z182</f>
        <v>82966</v>
      </c>
      <c r="AR182" s="165">
        <f t="shared" ref="AR182:AR202" si="51">AA182</f>
        <v>341</v>
      </c>
      <c r="AS182" s="380">
        <f t="shared" ref="AS182:AS202" si="52">AB182</f>
        <v>341</v>
      </c>
      <c r="AT182" s="380">
        <f t="shared" ref="AT182:AT202" si="53">AC182</f>
        <v>82966</v>
      </c>
      <c r="AU182" s="159">
        <f>AT182/$AQ$202</f>
        <v>0.22458385225746705</v>
      </c>
      <c r="AV182" s="159">
        <f>AQ182/$AQ$202</f>
        <v>0.22458385225746705</v>
      </c>
      <c r="AW182" s="160">
        <f>AS182/$AR$202</f>
        <v>0.21514195583596216</v>
      </c>
      <c r="AX182" s="160">
        <f>AW182</f>
        <v>0.21514195583596216</v>
      </c>
      <c r="AY182" s="164">
        <v>89735</v>
      </c>
      <c r="AZ182" s="165">
        <v>625</v>
      </c>
      <c r="BA182" s="380">
        <f>AZ182-AZ180</f>
        <v>625</v>
      </c>
      <c r="BB182" s="380">
        <f>AY182-AY180</f>
        <v>89735</v>
      </c>
      <c r="BC182" s="159">
        <f>BB182/$AY$202</f>
        <v>0.37516514206398316</v>
      </c>
      <c r="BD182" s="159">
        <f>AY182/$AY$202</f>
        <v>0.37516514206398316</v>
      </c>
      <c r="BE182" s="160">
        <f>BA182/$AZ$202</f>
        <v>0.37560096153846156</v>
      </c>
      <c r="BF182" s="160">
        <f>BE182</f>
        <v>0.37560096153846156</v>
      </c>
      <c r="BG182" s="159">
        <v>0.217908689903446</v>
      </c>
      <c r="BH182" s="159">
        <v>0.21790868990344553</v>
      </c>
      <c r="BI182" s="160">
        <v>0.23279352226720648</v>
      </c>
      <c r="BJ182" s="160">
        <v>0.23279352226720648</v>
      </c>
      <c r="BK182" s="159">
        <v>4.9561783997210986E-2</v>
      </c>
      <c r="BL182" s="159">
        <v>0.29513300524561986</v>
      </c>
      <c r="BM182" s="160">
        <v>5.657492354740061E-2</v>
      </c>
      <c r="BN182" s="160">
        <v>0.29816513761467889</v>
      </c>
      <c r="BO182" s="159">
        <v>5.1641540743868043E-2</v>
      </c>
      <c r="BP182" s="159">
        <f t="shared" ref="BP182:BP202" si="54">BP181+BO182</f>
        <v>0.25470121554347636</v>
      </c>
      <c r="BQ182" s="160">
        <v>5.2910052910052907E-2</v>
      </c>
      <c r="BR182" s="160">
        <f>SUM(BQ$180:BQ182)</f>
        <v>0.23677248677248677</v>
      </c>
      <c r="BS182" s="161">
        <f>Vergleich!C4</f>
        <v>14771</v>
      </c>
      <c r="BT182" s="159">
        <v>3.0331221429144267E-2</v>
      </c>
      <c r="BU182" s="159">
        <f t="shared" ref="BU182:BU202" si="55">BU181+BT182</f>
        <v>0.23692357045472773</v>
      </c>
      <c r="BV182" s="160">
        <v>3.7463976945244948E-2</v>
      </c>
      <c r="BW182" s="160">
        <f>SUM(BV$180:BV182)</f>
        <v>0.21037463976945245</v>
      </c>
      <c r="BX182" s="161"/>
      <c r="BY182" s="159"/>
      <c r="BZ182" s="281"/>
      <c r="CA182" s="281"/>
      <c r="CB182" s="281"/>
      <c r="CC182" s="281"/>
      <c r="CD182" s="281"/>
      <c r="CE182" s="281"/>
      <c r="CF182" s="281"/>
      <c r="CG182" s="281"/>
      <c r="CH182" s="281"/>
      <c r="CI182" s="281"/>
      <c r="CJ182" s="281"/>
      <c r="CK182" s="281"/>
      <c r="CL182" s="281"/>
      <c r="CM182" s="281"/>
      <c r="CN182" s="281"/>
      <c r="CO182" s="281"/>
      <c r="CP182" s="281"/>
      <c r="CQ182" s="281"/>
      <c r="CR182" s="281"/>
    </row>
    <row r="183" spans="1:96" s="163" customFormat="1" x14ac:dyDescent="0.3">
      <c r="A183" s="272"/>
      <c r="B183" s="281"/>
      <c r="C183" s="281"/>
      <c r="D183" s="281"/>
      <c r="E183" s="276">
        <v>2</v>
      </c>
      <c r="F183" s="357">
        <f t="shared" si="42"/>
        <v>44470.666666666664</v>
      </c>
      <c r="G183" s="310">
        <f t="shared" si="43"/>
        <v>96328</v>
      </c>
      <c r="H183" s="390">
        <f t="shared" si="44"/>
        <v>404</v>
      </c>
      <c r="I183" s="311">
        <f t="shared" si="45"/>
        <v>96328</v>
      </c>
      <c r="J183" s="311">
        <f t="shared" si="46"/>
        <v>96328</v>
      </c>
      <c r="K183" s="312">
        <v>49522</v>
      </c>
      <c r="L183" s="312">
        <v>65000</v>
      </c>
      <c r="M183" s="312">
        <f t="shared" ref="M183:M202" si="56">AY183</f>
        <v>114003</v>
      </c>
      <c r="N183" s="299"/>
      <c r="O183" s="303"/>
      <c r="P183" s="301"/>
      <c r="Q183" s="226"/>
      <c r="R183" s="98"/>
      <c r="S183" s="169">
        <v>2</v>
      </c>
      <c r="T183" s="171">
        <f t="shared" ref="T183:T202" si="57">WEEKDAY(U183)</f>
        <v>6</v>
      </c>
      <c r="U183" s="148">
        <f t="shared" ref="U183:U202" si="58">U182+1</f>
        <v>44470</v>
      </c>
      <c r="V183" s="149">
        <v>0.66666666666666663</v>
      </c>
      <c r="W183" s="150">
        <f t="shared" si="36"/>
        <v>44470.666666666664</v>
      </c>
      <c r="X183" s="151">
        <f t="shared" si="37"/>
        <v>2</v>
      </c>
      <c r="Y183" s="151">
        <f t="shared" ref="Y183:Y202" si="59">X183-X182</f>
        <v>1</v>
      </c>
      <c r="Z183" s="164">
        <v>96328</v>
      </c>
      <c r="AA183" s="165">
        <v>404</v>
      </c>
      <c r="AB183" s="166">
        <f>AA183-AA182</f>
        <v>63</v>
      </c>
      <c r="AC183" s="154">
        <f t="shared" ref="AC183:AC202" si="60">Z183-Z182</f>
        <v>13362</v>
      </c>
      <c r="AD183" s="155">
        <f t="shared" si="38"/>
        <v>238.43564356435644</v>
      </c>
      <c r="AE183" s="156">
        <f t="shared" ref="AE183:AE203" si="61">AC183/AB183</f>
        <v>212.0952380952381</v>
      </c>
      <c r="AF183" s="156">
        <f>SUM(AC181:AC183)/SUM(AB181:AB183)</f>
        <v>238.43564356435644</v>
      </c>
      <c r="AG183" s="154">
        <f t="shared" ref="AG183:AG184" si="62">Z183</f>
        <v>96328</v>
      </c>
      <c r="AH183" s="157">
        <f t="shared" ref="AH183" si="63">Z183-AG183</f>
        <v>0</v>
      </c>
      <c r="AI183" s="168">
        <f>AI182+AB183</f>
        <v>404</v>
      </c>
      <c r="AJ183" s="170">
        <f t="shared" si="47"/>
        <v>0</v>
      </c>
      <c r="AK183" s="154">
        <f t="shared" ref="AK183:AK184" si="64">AG183</f>
        <v>96328</v>
      </c>
      <c r="AL183" s="157">
        <f t="shared" ref="AL183:AL184" si="65">Z183-AK183</f>
        <v>0</v>
      </c>
      <c r="AM183" s="168">
        <f t="shared" ref="AM183:AM184" si="66">AI183</f>
        <v>404</v>
      </c>
      <c r="AN183" s="170">
        <f t="shared" si="48"/>
        <v>0</v>
      </c>
      <c r="AO183" s="154">
        <f t="shared" si="49"/>
        <v>13362</v>
      </c>
      <c r="AP183" s="154">
        <f t="shared" si="40"/>
        <v>48164</v>
      </c>
      <c r="AQ183" s="164">
        <f t="shared" si="50"/>
        <v>96328</v>
      </c>
      <c r="AR183" s="165">
        <f t="shared" si="51"/>
        <v>404</v>
      </c>
      <c r="AS183" s="380">
        <f t="shared" si="52"/>
        <v>63</v>
      </c>
      <c r="AT183" s="380">
        <f t="shared" si="53"/>
        <v>13362</v>
      </c>
      <c r="AU183" s="159">
        <f t="shared" ref="AU183:AU202" si="67">AT183/$AQ$202</f>
        <v>3.6170111055905729E-2</v>
      </c>
      <c r="AV183" s="172">
        <f t="shared" ref="AV183:AV202" si="68">AQ183/$AQ$202</f>
        <v>0.26075396331337275</v>
      </c>
      <c r="AW183" s="160">
        <f t="shared" ref="AW183:AW202" si="69">AS183/$AR$202</f>
        <v>3.9747634069400628E-2</v>
      </c>
      <c r="AX183" s="160">
        <f>AX182+AW183</f>
        <v>0.25488958990536281</v>
      </c>
      <c r="AY183" s="164">
        <v>114003</v>
      </c>
      <c r="AZ183" s="165">
        <v>789</v>
      </c>
      <c r="BA183" s="380">
        <f>AZ183-AZ182</f>
        <v>164</v>
      </c>
      <c r="BB183" s="380">
        <f>AY183-AY182</f>
        <v>24268</v>
      </c>
      <c r="BC183" s="159">
        <f t="shared" ref="BC183:BC202" si="70">BB183/$AY$202</f>
        <v>0.10145993946184591</v>
      </c>
      <c r="BD183" s="172">
        <f t="shared" ref="BD183:BD202" si="71">AY183/$AY$202</f>
        <v>0.47662508152582905</v>
      </c>
      <c r="BE183" s="160">
        <f t="shared" ref="BE183:BE202" si="72">BA183/$AZ$202</f>
        <v>9.8557692307692304E-2</v>
      </c>
      <c r="BF183" s="160">
        <f>BF182+BE183</f>
        <v>0.47415865384615385</v>
      </c>
      <c r="BG183" s="159">
        <v>5.4666059266008156E-2</v>
      </c>
      <c r="BH183" s="172">
        <v>0.27257474916945368</v>
      </c>
      <c r="BI183" s="160">
        <v>6.0728744939271252E-2</v>
      </c>
      <c r="BJ183" s="160">
        <v>0.29352226720647773</v>
      </c>
      <c r="BK183" s="159">
        <v>5.0729278990765438E-2</v>
      </c>
      <c r="BL183" s="172">
        <v>0.34586228423638532</v>
      </c>
      <c r="BM183" s="160">
        <v>5.8103975535168197E-2</v>
      </c>
      <c r="BN183" s="160">
        <v>0.35626911314984711</v>
      </c>
      <c r="BO183" s="159">
        <v>3.5680569481825485E-2</v>
      </c>
      <c r="BP183" s="172">
        <f t="shared" si="54"/>
        <v>0.29038178502530182</v>
      </c>
      <c r="BQ183" s="160">
        <v>3.5714285714285712E-2</v>
      </c>
      <c r="BR183" s="160">
        <f>SUM(BQ$180:BQ183)</f>
        <v>0.2724867724867725</v>
      </c>
      <c r="BS183" s="161">
        <f>Vergleich!C5</f>
        <v>16764</v>
      </c>
      <c r="BT183" s="159">
        <v>3.1967278851551872E-2</v>
      </c>
      <c r="BU183" s="172">
        <f t="shared" si="55"/>
        <v>0.2688908493062796</v>
      </c>
      <c r="BV183" s="160">
        <v>2.5936599423631135E-2</v>
      </c>
      <c r="BW183" s="160">
        <f>SUM(BV$180:BV183)</f>
        <v>0.23631123919308358</v>
      </c>
      <c r="BX183" s="161">
        <v>65000</v>
      </c>
      <c r="BY183" s="172">
        <f>L183/$BX$203</f>
        <v>0.22773696030719964</v>
      </c>
      <c r="BZ183" s="281"/>
      <c r="CA183" s="281"/>
      <c r="CB183" s="281"/>
      <c r="CC183" s="281"/>
      <c r="CD183" s="281"/>
      <c r="CE183" s="281"/>
      <c r="CF183" s="281"/>
      <c r="CG183" s="281"/>
      <c r="CH183" s="281"/>
      <c r="CI183" s="281"/>
      <c r="CJ183" s="281"/>
      <c r="CK183" s="281"/>
      <c r="CL183" s="281"/>
      <c r="CM183" s="281"/>
      <c r="CN183" s="281"/>
      <c r="CO183" s="281"/>
      <c r="CP183" s="281"/>
      <c r="CQ183" s="281"/>
      <c r="CR183" s="281"/>
    </row>
    <row r="184" spans="1:96" s="163" customFormat="1" x14ac:dyDescent="0.3">
      <c r="A184" s="272"/>
      <c r="B184" s="281"/>
      <c r="C184" s="281"/>
      <c r="D184" s="281"/>
      <c r="E184" s="276">
        <v>3</v>
      </c>
      <c r="F184" s="357">
        <f t="shared" si="42"/>
        <v>44471.666666666664</v>
      </c>
      <c r="G184" s="310">
        <f t="shared" si="43"/>
        <v>115147</v>
      </c>
      <c r="H184" s="390">
        <f t="shared" si="44"/>
        <v>480</v>
      </c>
      <c r="I184" s="311">
        <f t="shared" si="45"/>
        <v>115147</v>
      </c>
      <c r="J184" s="311">
        <f t="shared" si="46"/>
        <v>115147</v>
      </c>
      <c r="K184" s="312">
        <v>53901</v>
      </c>
      <c r="L184" s="312"/>
      <c r="M184" s="312">
        <f t="shared" si="56"/>
        <v>122519</v>
      </c>
      <c r="N184" s="299"/>
      <c r="O184" s="303"/>
      <c r="P184" s="304"/>
      <c r="Q184" s="227"/>
      <c r="R184" s="98"/>
      <c r="S184" s="169">
        <v>3</v>
      </c>
      <c r="T184" s="171">
        <f t="shared" si="57"/>
        <v>7</v>
      </c>
      <c r="U184" s="148">
        <f t="shared" si="58"/>
        <v>44471</v>
      </c>
      <c r="V184" s="149">
        <v>0.66666666666666663</v>
      </c>
      <c r="W184" s="150">
        <f t="shared" si="36"/>
        <v>44471.666666666664</v>
      </c>
      <c r="X184" s="151">
        <f t="shared" si="37"/>
        <v>3</v>
      </c>
      <c r="Y184" s="151">
        <f t="shared" si="59"/>
        <v>1</v>
      </c>
      <c r="Z184" s="164">
        <v>115147</v>
      </c>
      <c r="AA184" s="165">
        <v>480</v>
      </c>
      <c r="AB184" s="166">
        <f t="shared" ref="AB184:AB201" si="73">AA184-AA183</f>
        <v>76</v>
      </c>
      <c r="AC184" s="154">
        <f t="shared" si="60"/>
        <v>18819</v>
      </c>
      <c r="AD184" s="155">
        <f t="shared" si="38"/>
        <v>239.88958333333332</v>
      </c>
      <c r="AE184" s="156">
        <f t="shared" si="61"/>
        <v>247.61842105263159</v>
      </c>
      <c r="AF184" s="156">
        <f>SUM(AC181:AC184)/SUM(AB181:AB184)</f>
        <v>239.88958333333332</v>
      </c>
      <c r="AG184" s="154">
        <f t="shared" si="62"/>
        <v>115147</v>
      </c>
      <c r="AH184" s="157">
        <f>Z184-AG184</f>
        <v>0</v>
      </c>
      <c r="AI184" s="168">
        <f t="shared" ref="AI184" si="74">AI183+AB184</f>
        <v>480</v>
      </c>
      <c r="AJ184" s="170">
        <f t="shared" si="47"/>
        <v>0</v>
      </c>
      <c r="AK184" s="154">
        <f t="shared" si="64"/>
        <v>115147</v>
      </c>
      <c r="AL184" s="157">
        <f t="shared" si="65"/>
        <v>0</v>
      </c>
      <c r="AM184" s="168">
        <f t="shared" si="66"/>
        <v>480</v>
      </c>
      <c r="AN184" s="170">
        <f t="shared" ref="AN184" si="75">AA184-AM184</f>
        <v>0</v>
      </c>
      <c r="AO184" s="154">
        <f t="shared" si="49"/>
        <v>18819</v>
      </c>
      <c r="AP184" s="154">
        <f t="shared" si="40"/>
        <v>38382.333333333336</v>
      </c>
      <c r="AQ184" s="164">
        <f t="shared" si="50"/>
        <v>115147</v>
      </c>
      <c r="AR184" s="165">
        <f t="shared" si="51"/>
        <v>480</v>
      </c>
      <c r="AS184" s="380">
        <f t="shared" si="52"/>
        <v>76</v>
      </c>
      <c r="AT184" s="380">
        <f t="shared" si="53"/>
        <v>18819</v>
      </c>
      <c r="AU184" s="159">
        <f t="shared" si="67"/>
        <v>5.094187396805043E-2</v>
      </c>
      <c r="AV184" s="159">
        <f t="shared" si="68"/>
        <v>0.31169583728142319</v>
      </c>
      <c r="AW184" s="160">
        <f t="shared" si="69"/>
        <v>4.7949526813880129E-2</v>
      </c>
      <c r="AX184" s="160">
        <f t="shared" ref="AX184:AX202" si="76">AX183+AW184</f>
        <v>0.30283911671924296</v>
      </c>
      <c r="AY184" s="164">
        <v>122519</v>
      </c>
      <c r="AZ184" s="165">
        <v>852</v>
      </c>
      <c r="BA184" s="380">
        <f t="shared" ref="BA184:BA202" si="77">AZ184-AZ183</f>
        <v>63</v>
      </c>
      <c r="BB184" s="380">
        <f t="shared" ref="BB184:BB202" si="78">AY184-AY183</f>
        <v>8516</v>
      </c>
      <c r="BC184" s="159">
        <f t="shared" si="70"/>
        <v>3.5603792832416339E-2</v>
      </c>
      <c r="BD184" s="159">
        <f t="shared" si="71"/>
        <v>0.51222887435824538</v>
      </c>
      <c r="BE184" s="160">
        <f t="shared" si="72"/>
        <v>3.786057692307692E-2</v>
      </c>
      <c r="BF184" s="160">
        <f t="shared" ref="BF184:BF202" si="79">BF183+BE184</f>
        <v>0.51201923076923073</v>
      </c>
      <c r="BG184" s="159">
        <v>3.4877390251219428E-2</v>
      </c>
      <c r="BH184" s="159">
        <v>0.30745213942067312</v>
      </c>
      <c r="BI184" s="160">
        <v>3.4412955465587043E-2</v>
      </c>
      <c r="BJ184" s="160">
        <v>0.32793522267206476</v>
      </c>
      <c r="BK184" s="159">
        <v>2.1193277174662115E-2</v>
      </c>
      <c r="BL184" s="159">
        <v>0.36705556141104745</v>
      </c>
      <c r="BM184" s="160">
        <v>2.2935779816513763E-2</v>
      </c>
      <c r="BN184" s="160">
        <v>0.37920489296636084</v>
      </c>
      <c r="BO184" s="159">
        <v>2.5677109903190436E-2</v>
      </c>
      <c r="BP184" s="159">
        <f t="shared" si="54"/>
        <v>0.31605889492849226</v>
      </c>
      <c r="BQ184" s="160">
        <v>2.3809523809523808E-2</v>
      </c>
      <c r="BR184" s="160">
        <f>SUM(BQ$180:BQ184)</f>
        <v>0.29629629629629628</v>
      </c>
      <c r="BS184" s="161">
        <f>Vergleich!C6</f>
        <v>17674</v>
      </c>
      <c r="BT184" s="159">
        <v>3.3956211404282621E-2</v>
      </c>
      <c r="BU184" s="159">
        <f t="shared" si="55"/>
        <v>0.30284706071056222</v>
      </c>
      <c r="BV184" s="160">
        <v>3.746397694524492E-2</v>
      </c>
      <c r="BW184" s="160">
        <f>SUM(BV$180:BV184)</f>
        <v>0.2737752161383285</v>
      </c>
      <c r="BX184" s="161"/>
      <c r="BY184" s="159"/>
      <c r="BZ184" s="281"/>
      <c r="CA184" s="281"/>
      <c r="CB184" s="281"/>
      <c r="CC184" s="281"/>
      <c r="CD184" s="281"/>
      <c r="CE184" s="281"/>
      <c r="CF184" s="281"/>
      <c r="CG184" s="281"/>
      <c r="CH184" s="281"/>
      <c r="CI184" s="281"/>
      <c r="CJ184" s="281"/>
      <c r="CK184" s="281"/>
      <c r="CL184" s="281"/>
      <c r="CM184" s="281"/>
      <c r="CN184" s="281"/>
      <c r="CO184" s="281"/>
      <c r="CP184" s="281"/>
      <c r="CQ184" s="281"/>
      <c r="CR184" s="281"/>
    </row>
    <row r="185" spans="1:96" s="163" customFormat="1" x14ac:dyDescent="0.3">
      <c r="A185" s="272"/>
      <c r="B185" s="281"/>
      <c r="C185" s="281"/>
      <c r="D185" s="281"/>
      <c r="E185" s="276">
        <v>4</v>
      </c>
      <c r="F185" s="357">
        <f t="shared" si="42"/>
        <v>44472.666666666664</v>
      </c>
      <c r="G185" s="310">
        <f t="shared" si="43"/>
        <v>123834</v>
      </c>
      <c r="H185" s="390">
        <f t="shared" si="44"/>
        <v>520</v>
      </c>
      <c r="I185" s="311">
        <f t="shared" si="45"/>
        <v>119666.33664698897</v>
      </c>
      <c r="J185" s="311">
        <f t="shared" si="46"/>
        <v>127831.66299185227</v>
      </c>
      <c r="K185" s="312">
        <v>59963</v>
      </c>
      <c r="L185" s="312"/>
      <c r="M185" s="312">
        <f t="shared" si="56"/>
        <v>127604</v>
      </c>
      <c r="N185" s="410"/>
      <c r="O185" s="303"/>
      <c r="P185" s="304"/>
      <c r="Q185" s="227"/>
      <c r="R185" s="98"/>
      <c r="S185" s="169">
        <v>4</v>
      </c>
      <c r="T185" s="171">
        <f t="shared" si="57"/>
        <v>1</v>
      </c>
      <c r="U185" s="148">
        <f t="shared" si="58"/>
        <v>44472</v>
      </c>
      <c r="V185" s="149">
        <v>0.66666666666666663</v>
      </c>
      <c r="W185" s="150">
        <f t="shared" si="36"/>
        <v>44472.666666666664</v>
      </c>
      <c r="X185" s="151">
        <f t="shared" si="37"/>
        <v>4</v>
      </c>
      <c r="Y185" s="151">
        <f t="shared" si="59"/>
        <v>1</v>
      </c>
      <c r="Z185" s="164">
        <v>123834</v>
      </c>
      <c r="AA185" s="165">
        <v>520</v>
      </c>
      <c r="AB185" s="166">
        <f t="shared" si="73"/>
        <v>40</v>
      </c>
      <c r="AC185" s="154">
        <f t="shared" si="60"/>
        <v>8687</v>
      </c>
      <c r="AD185" s="155">
        <f t="shared" si="38"/>
        <v>238.1423076923077</v>
      </c>
      <c r="AE185" s="156">
        <f t="shared" si="61"/>
        <v>217.17500000000001</v>
      </c>
      <c r="AF185" s="156">
        <f t="shared" ref="AF185" si="80">SUM(AC182:AC185)/SUM(AB182:AB185)</f>
        <v>238.1423076923077</v>
      </c>
      <c r="AG185" s="154">
        <f>AG184+(AG$209-$AG$184)*BO206</f>
        <v>119666.33664698897</v>
      </c>
      <c r="AH185" s="154">
        <f t="shared" ref="AH185:AH187" si="81">Z185-AG185</f>
        <v>4167.6633530110266</v>
      </c>
      <c r="AI185" s="168">
        <f>ROUND(AI184+(AI$209-$AI$184)*BQ206,)</f>
        <v>496</v>
      </c>
      <c r="AJ185" s="158">
        <f t="shared" ref="AJ185:AJ187" si="82">AA185-AI185</f>
        <v>24</v>
      </c>
      <c r="AK185" s="154">
        <f>AK184+(AK$209-$AK$184)*BC206</f>
        <v>127831.66299185227</v>
      </c>
      <c r="AL185" s="154">
        <f t="shared" ref="AL185:AL187" si="83">Z185-AK185</f>
        <v>-3997.6629918522667</v>
      </c>
      <c r="AM185" s="168">
        <f>ROUND(AM184+(AM$209-$AM$184)*BE206,)</f>
        <v>546</v>
      </c>
      <c r="AN185" s="158">
        <f t="shared" si="48"/>
        <v>-26</v>
      </c>
      <c r="AO185" s="154">
        <f t="shared" si="49"/>
        <v>8687</v>
      </c>
      <c r="AP185" s="154">
        <f t="shared" si="40"/>
        <v>30958.5</v>
      </c>
      <c r="AQ185" s="152">
        <f t="shared" si="50"/>
        <v>123834</v>
      </c>
      <c r="AR185" s="76">
        <f t="shared" si="51"/>
        <v>520</v>
      </c>
      <c r="AS185" s="380">
        <f t="shared" si="52"/>
        <v>40</v>
      </c>
      <c r="AT185" s="380">
        <f t="shared" si="53"/>
        <v>8687</v>
      </c>
      <c r="AU185" s="159">
        <f t="shared" si="67"/>
        <v>2.3515173981638455E-2</v>
      </c>
      <c r="AV185" s="159">
        <f t="shared" si="68"/>
        <v>0.33521101126306163</v>
      </c>
      <c r="AW185" s="160">
        <f t="shared" si="69"/>
        <v>2.5236593059936908E-2</v>
      </c>
      <c r="AX185" s="160">
        <f t="shared" si="76"/>
        <v>0.32807570977917988</v>
      </c>
      <c r="AY185" s="152">
        <v>127604</v>
      </c>
      <c r="AZ185" s="76">
        <v>891</v>
      </c>
      <c r="BA185" s="380">
        <f t="shared" si="77"/>
        <v>39</v>
      </c>
      <c r="BB185" s="380">
        <f t="shared" si="78"/>
        <v>5085</v>
      </c>
      <c r="BC185" s="159">
        <f t="shared" si="70"/>
        <v>2.125942773048815E-2</v>
      </c>
      <c r="BD185" s="159">
        <f t="shared" si="71"/>
        <v>0.53348830208873355</v>
      </c>
      <c r="BE185" s="160">
        <f t="shared" si="72"/>
        <v>2.34375E-2</v>
      </c>
      <c r="BF185" s="160">
        <f t="shared" si="79"/>
        <v>0.53545673076923073</v>
      </c>
      <c r="BG185" s="159">
        <v>2.9477450250552772E-2</v>
      </c>
      <c r="BH185" s="159">
        <v>0.33692958967122588</v>
      </c>
      <c r="BI185" s="160">
        <v>3.2388663967611336E-2</v>
      </c>
      <c r="BJ185" s="160">
        <v>0.36032388663967607</v>
      </c>
      <c r="BK185" s="159">
        <v>2.176080946319553E-2</v>
      </c>
      <c r="BL185" s="159">
        <v>0.38881637087424298</v>
      </c>
      <c r="BM185" s="160">
        <v>2.4464831804281346E-2</v>
      </c>
      <c r="BN185" s="160">
        <v>0.40366972477064217</v>
      </c>
      <c r="BO185" s="159">
        <v>3.5545704551984567E-2</v>
      </c>
      <c r="BP185" s="159">
        <f t="shared" si="54"/>
        <v>0.35160459948047684</v>
      </c>
      <c r="BQ185" s="160">
        <v>3.0423280423280422E-2</v>
      </c>
      <c r="BR185" s="160">
        <f>SUM(BQ$180:BQ185)</f>
        <v>0.32671957671957669</v>
      </c>
      <c r="BS185" s="161">
        <f>Vergleich!C7</f>
        <v>18881</v>
      </c>
      <c r="BT185" s="159">
        <v>2.7524260165209702E-2</v>
      </c>
      <c r="BU185" s="159">
        <f t="shared" si="55"/>
        <v>0.33037132087577192</v>
      </c>
      <c r="BV185" s="160">
        <v>2.8818443804034588E-2</v>
      </c>
      <c r="BW185" s="160">
        <f>SUM(BV$180:BV185)</f>
        <v>0.30259365994236309</v>
      </c>
      <c r="BX185" s="161"/>
      <c r="BY185" s="102"/>
      <c r="BZ185" s="281"/>
      <c r="CA185" s="281"/>
      <c r="CB185" s="281"/>
      <c r="CC185" s="281"/>
      <c r="CD185" s="281"/>
      <c r="CE185" s="281"/>
      <c r="CF185" s="281"/>
      <c r="CG185" s="281"/>
      <c r="CH185" s="281"/>
      <c r="CI185" s="281"/>
      <c r="CJ185" s="281"/>
      <c r="CK185" s="281"/>
      <c r="CL185" s="281"/>
      <c r="CM185" s="281"/>
      <c r="CN185" s="281"/>
      <c r="CO185" s="281"/>
      <c r="CP185" s="281"/>
      <c r="CQ185" s="281"/>
      <c r="CR185" s="281"/>
    </row>
    <row r="186" spans="1:96" s="163" customFormat="1" x14ac:dyDescent="0.3">
      <c r="A186" s="272"/>
      <c r="B186" s="281"/>
      <c r="C186" s="281"/>
      <c r="D186" s="281"/>
      <c r="E186" s="276">
        <v>5</v>
      </c>
      <c r="F186" s="357">
        <f t="shared" si="42"/>
        <v>44473.666666666664</v>
      </c>
      <c r="G186" s="310">
        <f t="shared" si="43"/>
        <v>132002</v>
      </c>
      <c r="H186" s="390">
        <f t="shared" si="44"/>
        <v>564</v>
      </c>
      <c r="I186" s="311">
        <f t="shared" si="45"/>
        <v>122016.21277884467</v>
      </c>
      <c r="J186" s="311">
        <f t="shared" si="46"/>
        <v>136986.5721718125</v>
      </c>
      <c r="K186" s="312">
        <v>63115</v>
      </c>
      <c r="L186" s="312"/>
      <c r="M186" s="312">
        <f t="shared" si="56"/>
        <v>131274</v>
      </c>
      <c r="N186" s="410"/>
      <c r="O186" s="303"/>
      <c r="P186" s="304"/>
      <c r="Q186" s="227"/>
      <c r="R186" s="98"/>
      <c r="S186" s="169">
        <v>5</v>
      </c>
      <c r="T186" s="171">
        <f t="shared" si="57"/>
        <v>2</v>
      </c>
      <c r="U186" s="148">
        <f t="shared" si="58"/>
        <v>44473</v>
      </c>
      <c r="V186" s="149">
        <v>0.66666666666666663</v>
      </c>
      <c r="W186" s="150">
        <f t="shared" si="36"/>
        <v>44473.666666666664</v>
      </c>
      <c r="X186" s="151">
        <f t="shared" si="37"/>
        <v>5</v>
      </c>
      <c r="Y186" s="151">
        <f t="shared" si="59"/>
        <v>1</v>
      </c>
      <c r="Z186" s="164">
        <v>132002</v>
      </c>
      <c r="AA186" s="165">
        <v>564</v>
      </c>
      <c r="AB186" s="166">
        <f t="shared" si="73"/>
        <v>44</v>
      </c>
      <c r="AC186" s="154">
        <f t="shared" si="60"/>
        <v>8168</v>
      </c>
      <c r="AD186" s="155">
        <f t="shared" si="38"/>
        <v>234.04609929078015</v>
      </c>
      <c r="AE186" s="156">
        <f t="shared" si="61"/>
        <v>185.63636363636363</v>
      </c>
      <c r="AF186" s="156">
        <f>SUM(AC182:AC186)/SUM(AB182:AB186)</f>
        <v>234.04609929078015</v>
      </c>
      <c r="AG186" s="154">
        <f t="shared" ref="AG186:AG202" si="84">AG185+(AG$209-$AG$184)*BO207</f>
        <v>122016.21277884467</v>
      </c>
      <c r="AH186" s="154">
        <f t="shared" si="81"/>
        <v>9985.7872211553331</v>
      </c>
      <c r="AI186" s="168">
        <f t="shared" ref="AI186:AI202" si="85">ROUND(AI185+(AI$209-$AI$184)*BQ207,)</f>
        <v>508</v>
      </c>
      <c r="AJ186" s="158">
        <f t="shared" si="82"/>
        <v>56</v>
      </c>
      <c r="AK186" s="154">
        <f t="shared" ref="AK186:AK202" si="86">AK185+(AK$209-$AK$184)*BC207</f>
        <v>136986.5721718125</v>
      </c>
      <c r="AL186" s="154">
        <f t="shared" si="83"/>
        <v>-4984.5721718124987</v>
      </c>
      <c r="AM186" s="168">
        <f t="shared" ref="AM186:AM201" si="87">ROUND(AM185+(AM$209-$AM$184)*BE207,)</f>
        <v>592</v>
      </c>
      <c r="AN186" s="158">
        <f t="shared" si="48"/>
        <v>-28</v>
      </c>
      <c r="AO186" s="154">
        <f t="shared" si="49"/>
        <v>8168</v>
      </c>
      <c r="AP186" s="154">
        <f t="shared" si="40"/>
        <v>26400.400000000001</v>
      </c>
      <c r="AQ186" s="152">
        <f t="shared" si="50"/>
        <v>132002</v>
      </c>
      <c r="AR186" s="76">
        <f t="shared" si="51"/>
        <v>564</v>
      </c>
      <c r="AS186" s="379">
        <f t="shared" si="52"/>
        <v>44</v>
      </c>
      <c r="AT186" s="379">
        <f t="shared" si="53"/>
        <v>8168</v>
      </c>
      <c r="AU186" s="159">
        <f t="shared" si="67"/>
        <v>2.2110272946013917E-2</v>
      </c>
      <c r="AV186" s="159">
        <f t="shared" si="68"/>
        <v>0.35732128420907555</v>
      </c>
      <c r="AW186" s="160">
        <f t="shared" si="69"/>
        <v>2.7760252365930601E-2</v>
      </c>
      <c r="AX186" s="160">
        <f t="shared" si="76"/>
        <v>0.35583596214511048</v>
      </c>
      <c r="AY186" s="152">
        <v>131274</v>
      </c>
      <c r="AZ186" s="76">
        <v>918</v>
      </c>
      <c r="BA186" s="379">
        <f t="shared" si="77"/>
        <v>27</v>
      </c>
      <c r="BB186" s="379">
        <f t="shared" si="78"/>
        <v>3670</v>
      </c>
      <c r="BC186" s="159">
        <f t="shared" si="70"/>
        <v>1.5343579109319865E-2</v>
      </c>
      <c r="BD186" s="159">
        <f t="shared" si="71"/>
        <v>0.54883188119805337</v>
      </c>
      <c r="BE186" s="160">
        <f t="shared" si="72"/>
        <v>1.622596153846154E-2</v>
      </c>
      <c r="BF186" s="160">
        <f t="shared" si="79"/>
        <v>0.55168269230769229</v>
      </c>
      <c r="BG186" s="159">
        <v>2.5521938645126165E-2</v>
      </c>
      <c r="BH186" s="159">
        <v>0.36245152831635202</v>
      </c>
      <c r="BI186" s="160">
        <v>2.6315789473684209E-2</v>
      </c>
      <c r="BJ186" s="160">
        <v>0.38663967611336025</v>
      </c>
      <c r="BK186" s="159">
        <v>2.2749937166068056E-2</v>
      </c>
      <c r="BL186" s="159">
        <v>0.41156630804031102</v>
      </c>
      <c r="BM186" s="160">
        <v>2.4464831804281346E-2</v>
      </c>
      <c r="BN186" s="160">
        <v>0.4281345565749235</v>
      </c>
      <c r="BO186" s="159">
        <v>1.8482359080807548E-2</v>
      </c>
      <c r="BP186" s="159">
        <f t="shared" si="54"/>
        <v>0.37008695856128437</v>
      </c>
      <c r="BQ186" s="160">
        <v>2.2486772486772486E-2</v>
      </c>
      <c r="BR186" s="160">
        <f>SUM(BQ$180:BQ186)</f>
        <v>0.34920634920634919</v>
      </c>
      <c r="BS186" s="161">
        <f>Vergleich!C8</f>
        <v>21886</v>
      </c>
      <c r="BT186" s="159">
        <v>2.0675274681209388E-2</v>
      </c>
      <c r="BU186" s="159">
        <f t="shared" si="55"/>
        <v>0.35104659555698131</v>
      </c>
      <c r="BV186" s="160">
        <v>1.7291066282420775E-2</v>
      </c>
      <c r="BW186" s="160">
        <f>SUM(BV$180:BV186)</f>
        <v>0.31988472622478387</v>
      </c>
      <c r="BX186" s="161"/>
      <c r="BY186" s="102"/>
      <c r="BZ186" s="281"/>
      <c r="CA186" s="281"/>
      <c r="CB186" s="281"/>
      <c r="CC186" s="281"/>
      <c r="CD186" s="281"/>
      <c r="CE186" s="281"/>
      <c r="CF186" s="281"/>
      <c r="CG186" s="281"/>
      <c r="CH186" s="281"/>
      <c r="CI186" s="281"/>
      <c r="CJ186" s="281"/>
      <c r="CK186" s="281"/>
      <c r="CL186" s="281"/>
      <c r="CM186" s="281"/>
      <c r="CN186" s="281"/>
      <c r="CO186" s="281"/>
      <c r="CP186" s="281"/>
      <c r="CQ186" s="281"/>
      <c r="CR186" s="281"/>
    </row>
    <row r="187" spans="1:96" s="163" customFormat="1" x14ac:dyDescent="0.3">
      <c r="A187" s="272"/>
      <c r="B187" s="281"/>
      <c r="C187" s="281"/>
      <c r="D187" s="281"/>
      <c r="E187" s="276">
        <v>6</v>
      </c>
      <c r="F187" s="357">
        <f t="shared" si="42"/>
        <v>44474.666666666664</v>
      </c>
      <c r="G187" s="310">
        <f t="shared" si="43"/>
        <v>150957</v>
      </c>
      <c r="H187" s="390">
        <f t="shared" si="44"/>
        <v>652</v>
      </c>
      <c r="I187" s="311">
        <f t="shared" si="45"/>
        <v>123531.8530631285</v>
      </c>
      <c r="J187" s="311">
        <f t="shared" si="46"/>
        <v>147760.42850648507</v>
      </c>
      <c r="K187" s="312">
        <v>65148</v>
      </c>
      <c r="L187" s="312"/>
      <c r="M187" s="312">
        <f t="shared" si="56"/>
        <v>135593</v>
      </c>
      <c r="N187" s="410"/>
      <c r="O187" s="303"/>
      <c r="P187" s="304"/>
      <c r="Q187" s="227"/>
      <c r="R187" s="98"/>
      <c r="S187" s="169">
        <v>6</v>
      </c>
      <c r="T187" s="171">
        <f t="shared" si="57"/>
        <v>3</v>
      </c>
      <c r="U187" s="148">
        <f t="shared" si="58"/>
        <v>44474</v>
      </c>
      <c r="V187" s="149">
        <v>0.66666666666666663</v>
      </c>
      <c r="W187" s="150">
        <f t="shared" si="36"/>
        <v>44474.666666666664</v>
      </c>
      <c r="X187" s="151">
        <f t="shared" si="37"/>
        <v>6</v>
      </c>
      <c r="Y187" s="151">
        <f t="shared" si="59"/>
        <v>1</v>
      </c>
      <c r="Z187" s="164">
        <v>150957</v>
      </c>
      <c r="AA187" s="165">
        <v>652</v>
      </c>
      <c r="AB187" s="166">
        <f t="shared" si="73"/>
        <v>88</v>
      </c>
      <c r="AC187" s="154">
        <f t="shared" si="60"/>
        <v>18955</v>
      </c>
      <c r="AD187" s="155">
        <f t="shared" si="38"/>
        <v>231.52914110429447</v>
      </c>
      <c r="AE187" s="156">
        <f t="shared" si="61"/>
        <v>215.39772727272728</v>
      </c>
      <c r="AF187" s="156">
        <f>SUM(AC183:AC187)/SUM(AB183:AB187)</f>
        <v>218.62057877813504</v>
      </c>
      <c r="AG187" s="154">
        <f t="shared" si="84"/>
        <v>123531.8530631285</v>
      </c>
      <c r="AH187" s="154">
        <f t="shared" si="81"/>
        <v>27425.146936871504</v>
      </c>
      <c r="AI187" s="168">
        <f t="shared" si="85"/>
        <v>515</v>
      </c>
      <c r="AJ187" s="158">
        <f t="shared" si="82"/>
        <v>137</v>
      </c>
      <c r="AK187" s="154">
        <f t="shared" si="86"/>
        <v>147760.42850648507</v>
      </c>
      <c r="AL187" s="154">
        <f t="shared" si="83"/>
        <v>3196.5714935149299</v>
      </c>
      <c r="AM187" s="168">
        <f t="shared" si="87"/>
        <v>651</v>
      </c>
      <c r="AN187" s="158">
        <f t="shared" si="48"/>
        <v>1</v>
      </c>
      <c r="AO187" s="154">
        <f t="shared" si="49"/>
        <v>18955</v>
      </c>
      <c r="AP187" s="154">
        <f t="shared" si="40"/>
        <v>25159.5</v>
      </c>
      <c r="AQ187" s="152">
        <f t="shared" si="50"/>
        <v>150957</v>
      </c>
      <c r="AR187" s="76">
        <f t="shared" si="51"/>
        <v>652</v>
      </c>
      <c r="AS187" s="379">
        <f t="shared" si="52"/>
        <v>88</v>
      </c>
      <c r="AT187" s="379">
        <f t="shared" si="53"/>
        <v>18955</v>
      </c>
      <c r="AU187" s="159">
        <f t="shared" si="67"/>
        <v>5.131001759202912E-2</v>
      </c>
      <c r="AV187" s="159">
        <f t="shared" si="68"/>
        <v>0.40863130180110468</v>
      </c>
      <c r="AW187" s="160">
        <f t="shared" si="69"/>
        <v>5.5520504731861202E-2</v>
      </c>
      <c r="AX187" s="160">
        <f t="shared" si="76"/>
        <v>0.41135646687697169</v>
      </c>
      <c r="AY187" s="152">
        <v>135593</v>
      </c>
      <c r="AZ187" s="76">
        <v>953</v>
      </c>
      <c r="BA187" s="379">
        <f t="shared" si="77"/>
        <v>35</v>
      </c>
      <c r="BB187" s="379">
        <f t="shared" si="78"/>
        <v>4319</v>
      </c>
      <c r="BC187" s="159">
        <f t="shared" si="70"/>
        <v>1.8056925932739099E-2</v>
      </c>
      <c r="BD187" s="159">
        <f t="shared" si="71"/>
        <v>0.56688880713079248</v>
      </c>
      <c r="BE187" s="160">
        <f t="shared" si="72"/>
        <v>2.1033653846153848E-2</v>
      </c>
      <c r="BF187" s="160">
        <f t="shared" si="79"/>
        <v>0.57271634615384615</v>
      </c>
      <c r="BG187" s="159">
        <v>5.3999400006666594E-2</v>
      </c>
      <c r="BH187" s="159">
        <v>0.41645092832301861</v>
      </c>
      <c r="BI187" s="160">
        <v>5.8704453441295545E-2</v>
      </c>
      <c r="BJ187" s="160">
        <v>0.4453441295546558</v>
      </c>
      <c r="BK187" s="159">
        <v>2.4857914237763599E-2</v>
      </c>
      <c r="BL187" s="159">
        <v>0.43642422227807465</v>
      </c>
      <c r="BM187" s="160">
        <v>2.1406727828746176E-2</v>
      </c>
      <c r="BN187" s="160">
        <v>0.44954128440366969</v>
      </c>
      <c r="BO187" s="159">
        <v>1.1920887059416798E-2</v>
      </c>
      <c r="BP187" s="159">
        <f t="shared" si="54"/>
        <v>0.38200784562070117</v>
      </c>
      <c r="BQ187" s="160">
        <v>1.3227513227513227E-2</v>
      </c>
      <c r="BR187" s="160">
        <f>SUM(BQ$180:BQ187)</f>
        <v>0.36243386243386244</v>
      </c>
      <c r="BS187" s="161">
        <f>Vergleich!C9</f>
        <v>22571</v>
      </c>
      <c r="BT187" s="159">
        <v>1.0987248375972425E-2</v>
      </c>
      <c r="BU187" s="159">
        <f t="shared" si="55"/>
        <v>0.36203384393295374</v>
      </c>
      <c r="BV187" s="160">
        <v>1.1527377521613813E-2</v>
      </c>
      <c r="BW187" s="160">
        <f>SUM(BV$180:BV187)</f>
        <v>0.33141210374639768</v>
      </c>
      <c r="BX187" s="161"/>
      <c r="BY187" s="102"/>
      <c r="BZ187" s="281"/>
      <c r="CA187" s="281"/>
      <c r="CB187" s="281"/>
      <c r="CC187" s="281"/>
      <c r="CD187" s="281"/>
      <c r="CE187" s="281"/>
      <c r="CF187" s="281"/>
      <c r="CG187" s="281"/>
      <c r="CH187" s="281"/>
      <c r="CI187" s="281"/>
      <c r="CJ187" s="281"/>
      <c r="CK187" s="281"/>
      <c r="CL187" s="281"/>
      <c r="CM187" s="281"/>
      <c r="CN187" s="281"/>
      <c r="CO187" s="281"/>
      <c r="CP187" s="281"/>
      <c r="CQ187" s="281"/>
      <c r="CR187" s="281"/>
    </row>
    <row r="188" spans="1:96" s="163" customFormat="1" x14ac:dyDescent="0.3">
      <c r="A188" s="272"/>
      <c r="B188" s="281"/>
      <c r="C188" s="281"/>
      <c r="D188" s="281"/>
      <c r="E188" s="276">
        <v>7</v>
      </c>
      <c r="F188" s="357">
        <f t="shared" si="42"/>
        <v>44475.666666666664</v>
      </c>
      <c r="G188" s="310">
        <f t="shared" si="43"/>
        <v>164491</v>
      </c>
      <c r="H188" s="390">
        <f t="shared" si="44"/>
        <v>709</v>
      </c>
      <c r="I188" s="311">
        <f t="shared" si="45"/>
        <v>126868.05093433859</v>
      </c>
      <c r="J188" s="311">
        <f t="shared" si="46"/>
        <v>176956.35685587325</v>
      </c>
      <c r="K188" s="312">
        <v>69623</v>
      </c>
      <c r="L188" s="312"/>
      <c r="M188" s="312">
        <f t="shared" si="56"/>
        <v>147297</v>
      </c>
      <c r="N188" s="410"/>
      <c r="O188" s="303"/>
      <c r="P188" s="304"/>
      <c r="Q188" s="227"/>
      <c r="R188" s="98"/>
      <c r="S188" s="169">
        <v>7</v>
      </c>
      <c r="T188" s="171">
        <f t="shared" si="57"/>
        <v>4</v>
      </c>
      <c r="U188" s="148">
        <f t="shared" si="58"/>
        <v>44475</v>
      </c>
      <c r="V188" s="149">
        <v>0.66666666666666663</v>
      </c>
      <c r="W188" s="150">
        <f t="shared" si="36"/>
        <v>44475.666666666664</v>
      </c>
      <c r="X188" s="151">
        <f t="shared" si="37"/>
        <v>7</v>
      </c>
      <c r="Y188" s="151">
        <f t="shared" si="59"/>
        <v>1</v>
      </c>
      <c r="Z188" s="164">
        <v>164491</v>
      </c>
      <c r="AA188" s="165">
        <v>709</v>
      </c>
      <c r="AB188" s="166">
        <f t="shared" si="73"/>
        <v>57</v>
      </c>
      <c r="AC188" s="154">
        <f t="shared" si="60"/>
        <v>13534</v>
      </c>
      <c r="AD188" s="155">
        <f t="shared" si="38"/>
        <v>232.00423131170663</v>
      </c>
      <c r="AE188" s="156">
        <f t="shared" si="61"/>
        <v>237.43859649122808</v>
      </c>
      <c r="AF188" s="156">
        <f t="shared" ref="AF188:AF198" si="88">SUM(AC184:AC188)/SUM(AB184:AB188)</f>
        <v>223.48524590163933</v>
      </c>
      <c r="AG188" s="154">
        <f t="shared" si="84"/>
        <v>126868.05093433859</v>
      </c>
      <c r="AH188" s="154">
        <f t="shared" ref="AH188" si="89">Z188-AG188</f>
        <v>37622.949065661407</v>
      </c>
      <c r="AI188" s="168">
        <f t="shared" si="85"/>
        <v>530</v>
      </c>
      <c r="AJ188" s="158">
        <f t="shared" si="47"/>
        <v>179</v>
      </c>
      <c r="AK188" s="154">
        <f t="shared" si="86"/>
        <v>176956.35685587325</v>
      </c>
      <c r="AL188" s="154">
        <f>Z188-AK188</f>
        <v>-12465.356855873251</v>
      </c>
      <c r="AM188" s="168">
        <f t="shared" si="87"/>
        <v>805</v>
      </c>
      <c r="AN188" s="158">
        <f t="shared" si="48"/>
        <v>-96</v>
      </c>
      <c r="AO188" s="154">
        <f t="shared" si="49"/>
        <v>13534</v>
      </c>
      <c r="AP188" s="154">
        <f t="shared" si="40"/>
        <v>23498.714285714286</v>
      </c>
      <c r="AQ188" s="152">
        <f t="shared" si="50"/>
        <v>164491</v>
      </c>
      <c r="AR188" s="76">
        <f t="shared" si="51"/>
        <v>709</v>
      </c>
      <c r="AS188" s="379">
        <f t="shared" si="52"/>
        <v>57</v>
      </c>
      <c r="AT188" s="379">
        <f t="shared" si="53"/>
        <v>13534</v>
      </c>
      <c r="AU188" s="159">
        <f t="shared" si="67"/>
        <v>3.6635704462702298E-2</v>
      </c>
      <c r="AV188" s="159">
        <f t="shared" si="68"/>
        <v>0.445267006263807</v>
      </c>
      <c r="AW188" s="160">
        <f t="shared" si="69"/>
        <v>3.5962145110410092E-2</v>
      </c>
      <c r="AX188" s="160">
        <f t="shared" si="76"/>
        <v>0.44731861198738176</v>
      </c>
      <c r="AY188" s="152">
        <v>147297</v>
      </c>
      <c r="AZ188" s="76">
        <v>1044</v>
      </c>
      <c r="BA188" s="379">
        <f t="shared" si="77"/>
        <v>91</v>
      </c>
      <c r="BB188" s="379">
        <f t="shared" si="78"/>
        <v>11704</v>
      </c>
      <c r="BC188" s="159">
        <f t="shared" si="70"/>
        <v>4.893222067996722E-2</v>
      </c>
      <c r="BD188" s="159">
        <f t="shared" si="71"/>
        <v>0.61582102781075976</v>
      </c>
      <c r="BE188" s="160">
        <f t="shared" si="72"/>
        <v>5.46875E-2</v>
      </c>
      <c r="BF188" s="160">
        <f t="shared" si="79"/>
        <v>0.62740384615384615</v>
      </c>
      <c r="BG188" s="159">
        <v>3.0466328151909423E-2</v>
      </c>
      <c r="BH188" s="159">
        <v>0.44691725647492803</v>
      </c>
      <c r="BI188" s="160">
        <v>3.2388663967611336E-2</v>
      </c>
      <c r="BJ188" s="160">
        <v>0.47773279352226716</v>
      </c>
      <c r="BK188" s="159">
        <v>1.7447564070341575E-2</v>
      </c>
      <c r="BL188" s="159">
        <v>0.45387178634841624</v>
      </c>
      <c r="BM188" s="160">
        <v>2.1406727828746176E-2</v>
      </c>
      <c r="BN188" s="160">
        <v>0.47094801223241589</v>
      </c>
      <c r="BO188" s="159">
        <v>2.6240024392961223E-2</v>
      </c>
      <c r="BP188" s="159">
        <f t="shared" si="54"/>
        <v>0.40824787001366242</v>
      </c>
      <c r="BQ188" s="160">
        <v>2.7777777777777776E-2</v>
      </c>
      <c r="BR188" s="160">
        <f>SUM(BQ$180:BQ188)</f>
        <v>0.39021164021164023</v>
      </c>
      <c r="BS188" s="161">
        <f>Vergleich!C10</f>
        <v>24180</v>
      </c>
      <c r="BT188" s="159">
        <v>2.5808003849546846E-2</v>
      </c>
      <c r="BU188" s="159">
        <f t="shared" si="55"/>
        <v>0.38784184778250058</v>
      </c>
      <c r="BV188" s="160">
        <v>2.5936599423631135E-2</v>
      </c>
      <c r="BW188" s="160">
        <f>SUM(BV$180:BV188)</f>
        <v>0.35734870317002881</v>
      </c>
      <c r="BX188" s="161"/>
      <c r="BY188" s="102"/>
      <c r="BZ188" s="281"/>
      <c r="CA188" s="281"/>
      <c r="CB188" s="281"/>
      <c r="CC188" s="281"/>
      <c r="CD188" s="281"/>
      <c r="CE188" s="281"/>
      <c r="CF188" s="281"/>
      <c r="CG188" s="281"/>
      <c r="CH188" s="281"/>
      <c r="CI188" s="281"/>
      <c r="CJ188" s="281"/>
      <c r="CK188" s="281"/>
      <c r="CL188" s="281"/>
      <c r="CM188" s="281"/>
      <c r="CN188" s="281"/>
      <c r="CO188" s="281"/>
      <c r="CP188" s="281"/>
      <c r="CQ188" s="281"/>
      <c r="CR188" s="281"/>
    </row>
    <row r="189" spans="1:96" s="163" customFormat="1" x14ac:dyDescent="0.3">
      <c r="A189" s="272"/>
      <c r="B189" s="281"/>
      <c r="C189" s="281"/>
      <c r="D189" s="281"/>
      <c r="E189" s="276">
        <v>8</v>
      </c>
      <c r="F189" s="357">
        <f t="shared" si="42"/>
        <v>44476.666666666664</v>
      </c>
      <c r="G189" s="310">
        <f t="shared" si="43"/>
        <v>182858</v>
      </c>
      <c r="H189" s="390">
        <f t="shared" si="44"/>
        <v>792</v>
      </c>
      <c r="I189" s="311">
        <f t="shared" si="45"/>
        <v>129223.89121881321</v>
      </c>
      <c r="J189" s="311">
        <f t="shared" si="46"/>
        <v>194061.31932099242</v>
      </c>
      <c r="K189" s="312">
        <v>72783</v>
      </c>
      <c r="L189" s="312"/>
      <c r="M189" s="312">
        <f t="shared" si="56"/>
        <v>154154</v>
      </c>
      <c r="N189" s="410"/>
      <c r="O189" s="303"/>
      <c r="P189" s="304"/>
      <c r="Q189" s="227"/>
      <c r="R189" s="98"/>
      <c r="S189" s="169">
        <v>8</v>
      </c>
      <c r="T189" s="171">
        <f t="shared" si="57"/>
        <v>5</v>
      </c>
      <c r="U189" s="148">
        <f t="shared" si="58"/>
        <v>44476</v>
      </c>
      <c r="V189" s="149">
        <v>0.66666666666666663</v>
      </c>
      <c r="W189" s="150">
        <f t="shared" si="36"/>
        <v>44476.666666666664</v>
      </c>
      <c r="X189" s="151">
        <f t="shared" si="37"/>
        <v>8</v>
      </c>
      <c r="Y189" s="151">
        <f t="shared" si="59"/>
        <v>1</v>
      </c>
      <c r="Z189" s="164">
        <v>182858</v>
      </c>
      <c r="AA189" s="165">
        <v>792</v>
      </c>
      <c r="AB189" s="166">
        <f t="shared" si="73"/>
        <v>83</v>
      </c>
      <c r="AC189" s="154">
        <f t="shared" si="60"/>
        <v>18367</v>
      </c>
      <c r="AD189" s="155">
        <f t="shared" si="38"/>
        <v>230.88131313131314</v>
      </c>
      <c r="AE189" s="156">
        <f t="shared" si="61"/>
        <v>221.28915662650601</v>
      </c>
      <c r="AF189" s="156">
        <f t="shared" si="88"/>
        <v>217.02243589743588</v>
      </c>
      <c r="AG189" s="154">
        <f t="shared" si="84"/>
        <v>129223.89121881321</v>
      </c>
      <c r="AH189" s="154">
        <f t="shared" ref="AH189:AH202" si="90">Z189-AG189</f>
        <v>53634.108781186791</v>
      </c>
      <c r="AI189" s="168">
        <f t="shared" si="85"/>
        <v>539</v>
      </c>
      <c r="AJ189" s="158">
        <f t="shared" ref="AJ189:AJ202" si="91">AA189-AI189</f>
        <v>253</v>
      </c>
      <c r="AK189" s="154">
        <f t="shared" si="86"/>
        <v>194061.31932099242</v>
      </c>
      <c r="AL189" s="154">
        <f t="shared" ref="AL189:AL202" si="92">Z189-AK189</f>
        <v>-11203.319320992421</v>
      </c>
      <c r="AM189" s="168">
        <f t="shared" si="87"/>
        <v>873</v>
      </c>
      <c r="AN189" s="158">
        <f t="shared" si="48"/>
        <v>-81</v>
      </c>
      <c r="AO189" s="154">
        <f t="shared" si="49"/>
        <v>18367</v>
      </c>
      <c r="AP189" s="154">
        <f t="shared" si="40"/>
        <v>22857.25</v>
      </c>
      <c r="AQ189" s="152">
        <f t="shared" si="50"/>
        <v>182858</v>
      </c>
      <c r="AR189" s="76">
        <f t="shared" si="51"/>
        <v>792</v>
      </c>
      <c r="AS189" s="379">
        <f t="shared" si="52"/>
        <v>83</v>
      </c>
      <c r="AT189" s="379">
        <f t="shared" si="53"/>
        <v>18367</v>
      </c>
      <c r="AU189" s="159">
        <f t="shared" si="67"/>
        <v>4.9718337806003626E-2</v>
      </c>
      <c r="AV189" s="159">
        <f t="shared" si="68"/>
        <v>0.4949853440698106</v>
      </c>
      <c r="AW189" s="160">
        <f t="shared" si="69"/>
        <v>5.2365930599369087E-2</v>
      </c>
      <c r="AX189" s="160">
        <f t="shared" si="76"/>
        <v>0.49968454258675088</v>
      </c>
      <c r="AY189" s="152">
        <v>154154</v>
      </c>
      <c r="AZ189" s="76">
        <v>1084</v>
      </c>
      <c r="BA189" s="379">
        <f t="shared" si="77"/>
        <v>40</v>
      </c>
      <c r="BB189" s="379">
        <f t="shared" si="78"/>
        <v>6857</v>
      </c>
      <c r="BC189" s="159">
        <f t="shared" si="70"/>
        <v>2.8667826145124337E-2</v>
      </c>
      <c r="BD189" s="159">
        <f t="shared" si="71"/>
        <v>0.64448885395588407</v>
      </c>
      <c r="BE189" s="160">
        <f t="shared" si="72"/>
        <v>2.403846153846154E-2</v>
      </c>
      <c r="BF189" s="160">
        <f t="shared" si="79"/>
        <v>0.65144230769230771</v>
      </c>
      <c r="BG189" s="159">
        <v>3.9366229264119285E-2</v>
      </c>
      <c r="BH189" s="159">
        <v>0.48628348573904734</v>
      </c>
      <c r="BI189" s="160">
        <v>3.4412955465587043E-2</v>
      </c>
      <c r="BJ189" s="160">
        <v>0.51214574898785425</v>
      </c>
      <c r="BK189" s="159">
        <v>2.2814797999043304E-2</v>
      </c>
      <c r="BL189" s="159">
        <v>0.47668658434745953</v>
      </c>
      <c r="BM189" s="160">
        <v>2.5993883792048929E-2</v>
      </c>
      <c r="BN189" s="160">
        <v>0.49694189602446481</v>
      </c>
      <c r="BO189" s="159">
        <v>1.852926862162178E-2</v>
      </c>
      <c r="BP189" s="159">
        <f t="shared" si="54"/>
        <v>0.42677713863528421</v>
      </c>
      <c r="BQ189" s="160">
        <v>1.7195767195767195E-2</v>
      </c>
      <c r="BR189" s="160">
        <f>SUM(BQ$180:BQ189)</f>
        <v>0.40740740740740744</v>
      </c>
      <c r="BS189" s="161">
        <f>Vergleich!C11</f>
        <v>26679</v>
      </c>
      <c r="BT189" s="159">
        <v>4.0083406848985481E-2</v>
      </c>
      <c r="BU189" s="159">
        <f t="shared" si="55"/>
        <v>0.42792525463148606</v>
      </c>
      <c r="BV189" s="160">
        <v>3.4582132564841495E-2</v>
      </c>
      <c r="BW189" s="160">
        <f>SUM(BV$180:BV189)</f>
        <v>0.39193083573487031</v>
      </c>
      <c r="BX189" s="161"/>
      <c r="BY189" s="102"/>
      <c r="BZ189" s="281"/>
      <c r="CA189" s="281"/>
      <c r="CB189" s="281"/>
      <c r="CC189" s="281"/>
      <c r="CD189" s="281"/>
      <c r="CE189" s="281"/>
      <c r="CF189" s="281"/>
      <c r="CG189" s="281"/>
      <c r="CH189" s="281"/>
      <c r="CI189" s="281"/>
      <c r="CJ189" s="281"/>
      <c r="CK189" s="281"/>
      <c r="CL189" s="281"/>
      <c r="CM189" s="281"/>
      <c r="CN189" s="281"/>
      <c r="CO189" s="281"/>
      <c r="CP189" s="281"/>
      <c r="CQ189" s="281"/>
      <c r="CR189" s="281"/>
    </row>
    <row r="190" spans="1:96" s="163" customFormat="1" x14ac:dyDescent="0.3">
      <c r="A190" s="272"/>
      <c r="B190" s="281"/>
      <c r="C190" s="281"/>
      <c r="D190" s="281"/>
      <c r="E190" s="276">
        <v>9</v>
      </c>
      <c r="F190" s="357">
        <f t="shared" si="42"/>
        <v>44477.666666666664</v>
      </c>
      <c r="G190" s="310">
        <f t="shared" si="43"/>
        <v>195000</v>
      </c>
      <c r="H190" s="390">
        <f t="shared" si="44"/>
        <v>851</v>
      </c>
      <c r="I190" s="311">
        <f t="shared" si="45"/>
        <v>132067.30097988481</v>
      </c>
      <c r="J190" s="311">
        <f t="shared" si="46"/>
        <v>205256.75049256234</v>
      </c>
      <c r="K190" s="312">
        <v>76597</v>
      </c>
      <c r="L190" s="312"/>
      <c r="M190" s="312">
        <f t="shared" si="56"/>
        <v>158642</v>
      </c>
      <c r="N190" s="410"/>
      <c r="O190" s="303"/>
      <c r="P190" s="304"/>
      <c r="Q190" s="227"/>
      <c r="R190" s="98"/>
      <c r="S190" s="169">
        <v>9</v>
      </c>
      <c r="T190" s="171">
        <f t="shared" si="57"/>
        <v>6</v>
      </c>
      <c r="U190" s="148">
        <f t="shared" si="58"/>
        <v>44477</v>
      </c>
      <c r="V190" s="149">
        <v>0.66666666666666663</v>
      </c>
      <c r="W190" s="150">
        <f t="shared" si="36"/>
        <v>44477.666666666664</v>
      </c>
      <c r="X190" s="151">
        <f t="shared" si="37"/>
        <v>9</v>
      </c>
      <c r="Y190" s="151">
        <f t="shared" si="59"/>
        <v>1</v>
      </c>
      <c r="Z190" s="164">
        <v>195000</v>
      </c>
      <c r="AA190" s="165">
        <v>851</v>
      </c>
      <c r="AB190" s="166">
        <f t="shared" si="73"/>
        <v>59</v>
      </c>
      <c r="AC190" s="154">
        <f t="shared" si="60"/>
        <v>12142</v>
      </c>
      <c r="AD190" s="155">
        <f t="shared" si="38"/>
        <v>229.14218566392481</v>
      </c>
      <c r="AE190" s="156">
        <f t="shared" si="61"/>
        <v>205.79661016949152</v>
      </c>
      <c r="AF190" s="156">
        <f t="shared" si="88"/>
        <v>215.00302114803625</v>
      </c>
      <c r="AG190" s="154">
        <f t="shared" si="84"/>
        <v>132067.30097988481</v>
      </c>
      <c r="AH190" s="154">
        <f t="shared" si="90"/>
        <v>62932.699020115193</v>
      </c>
      <c r="AI190" s="168">
        <f t="shared" si="85"/>
        <v>554</v>
      </c>
      <c r="AJ190" s="158">
        <f t="shared" si="91"/>
        <v>297</v>
      </c>
      <c r="AK190" s="154">
        <f t="shared" si="86"/>
        <v>205256.75049256234</v>
      </c>
      <c r="AL190" s="154">
        <f t="shared" si="92"/>
        <v>-10256.750492562336</v>
      </c>
      <c r="AM190" s="168">
        <f t="shared" si="87"/>
        <v>920</v>
      </c>
      <c r="AN190" s="158">
        <f t="shared" si="48"/>
        <v>-69</v>
      </c>
      <c r="AO190" s="154">
        <f t="shared" si="49"/>
        <v>12142</v>
      </c>
      <c r="AP190" s="154">
        <f t="shared" si="40"/>
        <v>21666.666666666668</v>
      </c>
      <c r="AQ190" s="152">
        <f t="shared" si="50"/>
        <v>195000</v>
      </c>
      <c r="AR190" s="76">
        <f t="shared" si="51"/>
        <v>851</v>
      </c>
      <c r="AS190" s="379">
        <f t="shared" si="52"/>
        <v>59</v>
      </c>
      <c r="AT190" s="379">
        <f t="shared" si="53"/>
        <v>12142</v>
      </c>
      <c r="AU190" s="159">
        <f t="shared" si="67"/>
        <v>3.2867646193744E-2</v>
      </c>
      <c r="AV190" s="159">
        <f t="shared" si="68"/>
        <v>0.52785299026355459</v>
      </c>
      <c r="AW190" s="160">
        <f t="shared" si="69"/>
        <v>3.7223974763406942E-2</v>
      </c>
      <c r="AX190" s="160">
        <f t="shared" si="76"/>
        <v>0.53690851735015777</v>
      </c>
      <c r="AY190" s="152">
        <v>158642</v>
      </c>
      <c r="AZ190" s="76">
        <v>1112</v>
      </c>
      <c r="BA190" s="379">
        <f t="shared" si="77"/>
        <v>28</v>
      </c>
      <c r="BB190" s="379">
        <f t="shared" si="78"/>
        <v>4488</v>
      </c>
      <c r="BC190" s="159">
        <f t="shared" si="70"/>
        <v>1.8763483117882167E-2</v>
      </c>
      <c r="BD190" s="159">
        <f t="shared" si="71"/>
        <v>0.6632523370737663</v>
      </c>
      <c r="BE190" s="160">
        <f t="shared" si="72"/>
        <v>1.6826923076923076E-2</v>
      </c>
      <c r="BF190" s="160">
        <f t="shared" si="79"/>
        <v>0.66826923076923084</v>
      </c>
      <c r="BG190" s="159">
        <v>2.4499727780802436E-2</v>
      </c>
      <c r="BH190" s="159">
        <v>0.51078321351984979</v>
      </c>
      <c r="BI190" s="160">
        <v>2.8340080971659919E-2</v>
      </c>
      <c r="BJ190" s="160">
        <v>0.54048582995951422</v>
      </c>
      <c r="BK190" s="159">
        <v>3.6524756569186238E-2</v>
      </c>
      <c r="BL190" s="159">
        <v>0.51321134091664578</v>
      </c>
      <c r="BM190" s="160">
        <v>3.82262996941896E-2</v>
      </c>
      <c r="BN190" s="160">
        <v>0.53516819571865437</v>
      </c>
      <c r="BO190" s="159">
        <v>2.2364123583185274E-2</v>
      </c>
      <c r="BP190" s="159">
        <f t="shared" si="54"/>
        <v>0.44914126221846951</v>
      </c>
      <c r="BQ190" s="160">
        <v>2.7777777777777776E-2</v>
      </c>
      <c r="BR190" s="160">
        <f>SUM(BQ$180:BQ190)</f>
        <v>0.43518518518518523</v>
      </c>
      <c r="BS190" s="161">
        <f>Vergleich!C12</f>
        <v>27868</v>
      </c>
      <c r="BT190" s="159">
        <v>1.9071296816103978E-2</v>
      </c>
      <c r="BU190" s="159">
        <f t="shared" si="55"/>
        <v>0.44699655144759004</v>
      </c>
      <c r="BV190" s="160">
        <v>1.7291066282420775E-2</v>
      </c>
      <c r="BW190" s="160">
        <f>SUM(BV$180:BV190)</f>
        <v>0.40922190201729108</v>
      </c>
      <c r="BX190" s="161"/>
      <c r="BY190" s="102"/>
      <c r="BZ190" s="281"/>
      <c r="CA190" s="281"/>
      <c r="CB190" s="281"/>
      <c r="CC190" s="281"/>
      <c r="CD190" s="281"/>
      <c r="CE190" s="281"/>
      <c r="CF190" s="281"/>
      <c r="CG190" s="281"/>
      <c r="CH190" s="281"/>
      <c r="CI190" s="281"/>
      <c r="CJ190" s="281"/>
      <c r="CK190" s="281"/>
      <c r="CL190" s="281"/>
      <c r="CM190" s="281"/>
      <c r="CN190" s="281"/>
      <c r="CO190" s="281"/>
      <c r="CP190" s="281"/>
      <c r="CQ190" s="281"/>
      <c r="CR190" s="281"/>
    </row>
    <row r="191" spans="1:96" s="163" customFormat="1" x14ac:dyDescent="0.3">
      <c r="A191" s="272"/>
      <c r="B191" s="281"/>
      <c r="C191" s="281"/>
      <c r="D191" s="281"/>
      <c r="E191" s="276">
        <v>10</v>
      </c>
      <c r="F191" s="357">
        <f t="shared" si="42"/>
        <v>44478.666666666664</v>
      </c>
      <c r="G191" s="310">
        <f t="shared" si="43"/>
        <v>203877</v>
      </c>
      <c r="H191" s="390">
        <f t="shared" si="44"/>
        <v>893</v>
      </c>
      <c r="I191" s="311">
        <f t="shared" si="45"/>
        <v>135593.60621582309</v>
      </c>
      <c r="J191" s="311">
        <f t="shared" si="46"/>
        <v>216611.83130650758</v>
      </c>
      <c r="K191" s="312">
        <v>81327</v>
      </c>
      <c r="L191" s="312"/>
      <c r="M191" s="312">
        <f t="shared" si="56"/>
        <v>163194</v>
      </c>
      <c r="N191" s="410"/>
      <c r="O191" s="303"/>
      <c r="P191" s="304"/>
      <c r="Q191" s="227"/>
      <c r="R191" s="98"/>
      <c r="S191" s="169">
        <v>10</v>
      </c>
      <c r="T191" s="171">
        <f t="shared" si="57"/>
        <v>7</v>
      </c>
      <c r="U191" s="148">
        <f t="shared" si="58"/>
        <v>44478</v>
      </c>
      <c r="V191" s="149">
        <v>0.66666666666666663</v>
      </c>
      <c r="W191" s="150">
        <f t="shared" si="36"/>
        <v>44478.666666666664</v>
      </c>
      <c r="X191" s="151">
        <f t="shared" si="37"/>
        <v>10</v>
      </c>
      <c r="Y191" s="151">
        <f t="shared" si="59"/>
        <v>1</v>
      </c>
      <c r="Z191" s="164">
        <v>203877</v>
      </c>
      <c r="AA191" s="165">
        <v>893</v>
      </c>
      <c r="AB191" s="166">
        <f t="shared" si="73"/>
        <v>42</v>
      </c>
      <c r="AC191" s="154">
        <f t="shared" si="60"/>
        <v>8877</v>
      </c>
      <c r="AD191" s="155">
        <f t="shared" si="38"/>
        <v>228.30571108622621</v>
      </c>
      <c r="AE191" s="156">
        <f t="shared" si="61"/>
        <v>211.35714285714286</v>
      </c>
      <c r="AF191" s="156">
        <f t="shared" si="88"/>
        <v>218.46504559270517</v>
      </c>
      <c r="AG191" s="154">
        <f t="shared" si="84"/>
        <v>135593.60621582309</v>
      </c>
      <c r="AH191" s="154">
        <f t="shared" si="90"/>
        <v>68283.393784176908</v>
      </c>
      <c r="AI191" s="168">
        <f t="shared" si="85"/>
        <v>569</v>
      </c>
      <c r="AJ191" s="158">
        <f t="shared" si="91"/>
        <v>324</v>
      </c>
      <c r="AK191" s="154">
        <f t="shared" si="86"/>
        <v>216611.83130650758</v>
      </c>
      <c r="AL191" s="154">
        <f t="shared" si="92"/>
        <v>-12734.831306507578</v>
      </c>
      <c r="AM191" s="168">
        <f t="shared" si="87"/>
        <v>967</v>
      </c>
      <c r="AN191" s="158">
        <f t="shared" si="48"/>
        <v>-74</v>
      </c>
      <c r="AO191" s="154">
        <f t="shared" si="49"/>
        <v>8877</v>
      </c>
      <c r="AP191" s="154">
        <f t="shared" si="40"/>
        <v>20387.7</v>
      </c>
      <c r="AQ191" s="152">
        <f t="shared" si="50"/>
        <v>203877</v>
      </c>
      <c r="AR191" s="76">
        <f t="shared" si="51"/>
        <v>893</v>
      </c>
      <c r="AS191" s="379">
        <f t="shared" si="52"/>
        <v>42</v>
      </c>
      <c r="AT191" s="379">
        <f t="shared" si="53"/>
        <v>8877</v>
      </c>
      <c r="AU191" s="159">
        <f t="shared" si="67"/>
        <v>2.402949227984397E-2</v>
      </c>
      <c r="AV191" s="159">
        <f t="shared" si="68"/>
        <v>0.55188248254339856</v>
      </c>
      <c r="AW191" s="160">
        <f t="shared" si="69"/>
        <v>2.6498422712933754E-2</v>
      </c>
      <c r="AX191" s="160">
        <f t="shared" si="76"/>
        <v>0.56340694006309155</v>
      </c>
      <c r="AY191" s="152">
        <v>163194</v>
      </c>
      <c r="AZ191" s="76">
        <v>1140</v>
      </c>
      <c r="BA191" s="379">
        <f t="shared" si="77"/>
        <v>28</v>
      </c>
      <c r="BB191" s="379">
        <f t="shared" si="78"/>
        <v>4552</v>
      </c>
      <c r="BC191" s="159">
        <f t="shared" si="70"/>
        <v>1.9031055069652324E-2</v>
      </c>
      <c r="BD191" s="159">
        <f t="shared" si="71"/>
        <v>0.6822833921434186</v>
      </c>
      <c r="BE191" s="160">
        <f t="shared" si="72"/>
        <v>1.6826923076923076E-2</v>
      </c>
      <c r="BF191" s="160">
        <f t="shared" si="79"/>
        <v>0.68509615384615397</v>
      </c>
      <c r="BG191" s="159">
        <v>3.2021866423706406E-2</v>
      </c>
      <c r="BH191" s="159">
        <v>0.5428050799435562</v>
      </c>
      <c r="BI191" s="160">
        <v>3.0364372469635626E-2</v>
      </c>
      <c r="BJ191" s="160">
        <v>0.57085020242914986</v>
      </c>
      <c r="BK191" s="159">
        <v>2.7160473808384884E-2</v>
      </c>
      <c r="BL191" s="159">
        <v>0.54037181472503071</v>
      </c>
      <c r="BM191" s="160">
        <v>2.9051987767584098E-2</v>
      </c>
      <c r="BN191" s="160">
        <v>0.56422018348623848</v>
      </c>
      <c r="BO191" s="159">
        <v>2.7735266006414881E-2</v>
      </c>
      <c r="BP191" s="159">
        <f t="shared" si="54"/>
        <v>0.47687652822488441</v>
      </c>
      <c r="BQ191" s="160">
        <v>2.7777777777777776E-2</v>
      </c>
      <c r="BR191" s="160">
        <f>SUM(BQ$180:BQ191)</f>
        <v>0.46296296296296302</v>
      </c>
      <c r="BS191" s="161">
        <f>Vergleich!C13</f>
        <v>31587</v>
      </c>
      <c r="BT191" s="159">
        <v>5.9651936803272132E-2</v>
      </c>
      <c r="BU191" s="159">
        <f t="shared" si="55"/>
        <v>0.50664848825086217</v>
      </c>
      <c r="BV191" s="160">
        <v>5.4755043227665667E-2</v>
      </c>
      <c r="BW191" s="160">
        <f>SUM(BV$180:BV191)</f>
        <v>0.46397694524495675</v>
      </c>
      <c r="BX191" s="161"/>
      <c r="BY191" s="102"/>
      <c r="BZ191" s="281"/>
      <c r="CA191" s="281"/>
      <c r="CB191" s="281"/>
      <c r="CC191" s="281"/>
      <c r="CD191" s="281"/>
      <c r="CE191" s="281"/>
      <c r="CF191" s="281"/>
      <c r="CG191" s="281"/>
      <c r="CH191" s="281"/>
      <c r="CI191" s="281"/>
      <c r="CJ191" s="281"/>
      <c r="CK191" s="281"/>
      <c r="CL191" s="281"/>
      <c r="CM191" s="281"/>
      <c r="CN191" s="281"/>
      <c r="CO191" s="281"/>
      <c r="CP191" s="281"/>
      <c r="CQ191" s="281"/>
      <c r="CR191" s="281"/>
    </row>
    <row r="192" spans="1:96" s="163" customFormat="1" x14ac:dyDescent="0.3">
      <c r="A192" s="272"/>
      <c r="B192" s="281"/>
      <c r="C192" s="281"/>
      <c r="D192" s="281"/>
      <c r="E192" s="276">
        <v>11</v>
      </c>
      <c r="F192" s="357">
        <f t="shared" si="42"/>
        <v>44479.666666666664</v>
      </c>
      <c r="G192" s="310">
        <f t="shared" si="43"/>
        <v>212794</v>
      </c>
      <c r="H192" s="390">
        <f t="shared" si="44"/>
        <v>935</v>
      </c>
      <c r="I192" s="311">
        <f t="shared" si="45"/>
        <v>136887.08181505205</v>
      </c>
      <c r="J192" s="311">
        <f t="shared" si="46"/>
        <v>224621.75320755725</v>
      </c>
      <c r="K192" s="312">
        <v>83062</v>
      </c>
      <c r="L192" s="312"/>
      <c r="M192" s="312">
        <f t="shared" si="56"/>
        <v>166405</v>
      </c>
      <c r="N192" s="410"/>
      <c r="O192" s="303"/>
      <c r="P192" s="304"/>
      <c r="Q192" s="227"/>
      <c r="R192" s="98"/>
      <c r="S192" s="169">
        <v>11</v>
      </c>
      <c r="T192" s="171">
        <f t="shared" si="57"/>
        <v>1</v>
      </c>
      <c r="U192" s="148">
        <f t="shared" si="58"/>
        <v>44479</v>
      </c>
      <c r="V192" s="149">
        <v>0.66666666666666663</v>
      </c>
      <c r="W192" s="150">
        <f t="shared" si="36"/>
        <v>44479.666666666664</v>
      </c>
      <c r="X192" s="151">
        <f t="shared" si="37"/>
        <v>11</v>
      </c>
      <c r="Y192" s="151">
        <f t="shared" si="59"/>
        <v>1</v>
      </c>
      <c r="Z192" s="164">
        <v>212794</v>
      </c>
      <c r="AA192" s="165">
        <v>935</v>
      </c>
      <c r="AB192" s="166">
        <f t="shared" si="73"/>
        <v>42</v>
      </c>
      <c r="AC192" s="154">
        <f t="shared" si="60"/>
        <v>8917</v>
      </c>
      <c r="AD192" s="155">
        <f t="shared" si="38"/>
        <v>227.58716577540108</v>
      </c>
      <c r="AE192" s="156">
        <f t="shared" si="61"/>
        <v>212.3095238095238</v>
      </c>
      <c r="AF192" s="156">
        <f t="shared" si="88"/>
        <v>218.50530035335689</v>
      </c>
      <c r="AG192" s="154">
        <f t="shared" si="84"/>
        <v>136887.08181505205</v>
      </c>
      <c r="AH192" s="154">
        <f t="shared" si="90"/>
        <v>75906.91818494795</v>
      </c>
      <c r="AI192" s="168">
        <f t="shared" si="85"/>
        <v>573</v>
      </c>
      <c r="AJ192" s="158">
        <f t="shared" si="91"/>
        <v>362</v>
      </c>
      <c r="AK192" s="154">
        <f t="shared" si="86"/>
        <v>224621.75320755725</v>
      </c>
      <c r="AL192" s="154">
        <f t="shared" si="92"/>
        <v>-11827.753207557253</v>
      </c>
      <c r="AM192" s="168">
        <f t="shared" si="87"/>
        <v>1006</v>
      </c>
      <c r="AN192" s="158">
        <f t="shared" si="48"/>
        <v>-71</v>
      </c>
      <c r="AO192" s="154">
        <f t="shared" si="49"/>
        <v>8917</v>
      </c>
      <c r="AP192" s="154">
        <f t="shared" si="40"/>
        <v>19344.909090909092</v>
      </c>
      <c r="AQ192" s="152">
        <f t="shared" si="50"/>
        <v>212794</v>
      </c>
      <c r="AR192" s="76">
        <f t="shared" si="51"/>
        <v>935</v>
      </c>
      <c r="AS192" s="379">
        <f t="shared" si="52"/>
        <v>42</v>
      </c>
      <c r="AT192" s="379">
        <f t="shared" si="53"/>
        <v>8917</v>
      </c>
      <c r="AU192" s="159">
        <f t="shared" si="67"/>
        <v>2.4137769816308288E-2</v>
      </c>
      <c r="AV192" s="159">
        <f t="shared" si="68"/>
        <v>0.57602025235970689</v>
      </c>
      <c r="AW192" s="160">
        <f t="shared" si="69"/>
        <v>2.6498422712933754E-2</v>
      </c>
      <c r="AX192" s="160">
        <f t="shared" si="76"/>
        <v>0.58990536277602534</v>
      </c>
      <c r="AY192" s="152">
        <v>166405</v>
      </c>
      <c r="AZ192" s="76">
        <v>1163</v>
      </c>
      <c r="BA192" s="379">
        <f t="shared" si="77"/>
        <v>23</v>
      </c>
      <c r="BB192" s="379">
        <f t="shared" si="78"/>
        <v>3211</v>
      </c>
      <c r="BC192" s="159">
        <f t="shared" si="70"/>
        <v>1.342458651771828E-2</v>
      </c>
      <c r="BD192" s="159">
        <f t="shared" si="71"/>
        <v>0.69570797866113687</v>
      </c>
      <c r="BE192" s="160">
        <f t="shared" si="72"/>
        <v>1.3822115384615384E-2</v>
      </c>
      <c r="BF192" s="160">
        <f t="shared" si="79"/>
        <v>0.69891826923076938</v>
      </c>
      <c r="BG192" s="159">
        <v>1.5899823335296274E-2</v>
      </c>
      <c r="BH192" s="159">
        <v>0.55870490327885247</v>
      </c>
      <c r="BI192" s="160">
        <v>1.8218623481781375E-2</v>
      </c>
      <c r="BJ192" s="160">
        <v>0.58906882591093124</v>
      </c>
      <c r="BK192" s="159">
        <v>2.4468749239912112E-2</v>
      </c>
      <c r="BL192" s="159">
        <v>0.56484056396494287</v>
      </c>
      <c r="BM192" s="160">
        <v>2.5993883792048929E-2</v>
      </c>
      <c r="BN192" s="160">
        <v>0.5902140672782874</v>
      </c>
      <c r="BO192" s="159">
        <v>1.0173506664086642E-2</v>
      </c>
      <c r="BP192" s="159">
        <f t="shared" si="54"/>
        <v>0.48705003488897103</v>
      </c>
      <c r="BQ192" s="160">
        <v>7.9365079365079361E-3</v>
      </c>
      <c r="BR192" s="160">
        <f>SUM(BQ$180:BQ192)</f>
        <v>0.47089947089947093</v>
      </c>
      <c r="BS192" s="161">
        <f>Vergleich!C14</f>
        <v>34703</v>
      </c>
      <c r="BT192" s="159">
        <v>4.9979950276686114E-2</v>
      </c>
      <c r="BU192" s="159">
        <f t="shared" si="55"/>
        <v>0.55662843852754829</v>
      </c>
      <c r="BV192" s="160">
        <v>4.8991354466858816E-2</v>
      </c>
      <c r="BW192" s="160">
        <f>SUM(BV$180:BV192)</f>
        <v>0.51296829971181557</v>
      </c>
      <c r="BX192" s="161"/>
      <c r="BY192" s="159"/>
      <c r="BZ192" s="281"/>
      <c r="CA192" s="281"/>
      <c r="CB192" s="281"/>
      <c r="CC192" s="281"/>
      <c r="CD192" s="281"/>
      <c r="CE192" s="281"/>
      <c r="CF192" s="281"/>
      <c r="CG192" s="281"/>
      <c r="CH192" s="281"/>
      <c r="CI192" s="281"/>
      <c r="CJ192" s="281"/>
      <c r="CK192" s="281"/>
      <c r="CL192" s="281"/>
      <c r="CM192" s="281"/>
      <c r="CN192" s="281"/>
      <c r="CO192" s="281"/>
      <c r="CP192" s="281"/>
      <c r="CQ192" s="281"/>
      <c r="CR192" s="281"/>
    </row>
    <row r="193" spans="1:96" s="163" customFormat="1" x14ac:dyDescent="0.3">
      <c r="A193" s="272"/>
      <c r="B193" s="281"/>
      <c r="C193" s="281"/>
      <c r="D193" s="281"/>
      <c r="E193" s="276">
        <v>12</v>
      </c>
      <c r="F193" s="357">
        <f t="shared" si="42"/>
        <v>44480.666666666664</v>
      </c>
      <c r="G193" s="310">
        <f t="shared" si="43"/>
        <v>221864</v>
      </c>
      <c r="H193" s="390">
        <f t="shared" si="44"/>
        <v>976</v>
      </c>
      <c r="I193" s="311">
        <f t="shared" si="45"/>
        <v>139192.22680226582</v>
      </c>
      <c r="J193" s="311">
        <f t="shared" si="46"/>
        <v>233040.77731719372</v>
      </c>
      <c r="K193" s="312">
        <v>86154</v>
      </c>
      <c r="L193" s="312">
        <v>125000</v>
      </c>
      <c r="M193" s="312">
        <f t="shared" si="56"/>
        <v>169780</v>
      </c>
      <c r="N193" s="410"/>
      <c r="O193" s="303"/>
      <c r="P193" s="304"/>
      <c r="Q193" s="227"/>
      <c r="R193" s="98"/>
      <c r="S193" s="169">
        <v>12</v>
      </c>
      <c r="T193" s="171">
        <f t="shared" si="57"/>
        <v>2</v>
      </c>
      <c r="U193" s="148">
        <f t="shared" si="58"/>
        <v>44480</v>
      </c>
      <c r="V193" s="149">
        <v>0.66666666666666663</v>
      </c>
      <c r="W193" s="150">
        <f t="shared" si="36"/>
        <v>44480.666666666664</v>
      </c>
      <c r="X193" s="151">
        <f t="shared" si="37"/>
        <v>12</v>
      </c>
      <c r="Y193" s="151">
        <f t="shared" si="59"/>
        <v>1</v>
      </c>
      <c r="Z193" s="164">
        <v>221864</v>
      </c>
      <c r="AA193" s="165">
        <v>976</v>
      </c>
      <c r="AB193" s="166">
        <f t="shared" si="73"/>
        <v>41</v>
      </c>
      <c r="AC193" s="154">
        <f t="shared" si="60"/>
        <v>9070</v>
      </c>
      <c r="AD193" s="155">
        <f t="shared" si="38"/>
        <v>227.31967213114754</v>
      </c>
      <c r="AE193" s="156">
        <f t="shared" si="61"/>
        <v>221.21951219512195</v>
      </c>
      <c r="AF193" s="156">
        <f t="shared" si="88"/>
        <v>214.88014981273409</v>
      </c>
      <c r="AG193" s="154">
        <f t="shared" si="84"/>
        <v>139192.22680226582</v>
      </c>
      <c r="AH193" s="154">
        <f t="shared" si="90"/>
        <v>82671.773197734175</v>
      </c>
      <c r="AI193" s="168">
        <f t="shared" si="85"/>
        <v>583</v>
      </c>
      <c r="AJ193" s="158">
        <f t="shared" si="91"/>
        <v>393</v>
      </c>
      <c r="AK193" s="154">
        <f t="shared" si="86"/>
        <v>233040.77731719372</v>
      </c>
      <c r="AL193" s="154">
        <f t="shared" si="92"/>
        <v>-11176.777317193715</v>
      </c>
      <c r="AM193" s="168">
        <f t="shared" si="87"/>
        <v>1050</v>
      </c>
      <c r="AN193" s="158">
        <f t="shared" si="48"/>
        <v>-74</v>
      </c>
      <c r="AO193" s="154">
        <f t="shared" si="49"/>
        <v>9070</v>
      </c>
      <c r="AP193" s="154">
        <f t="shared" si="40"/>
        <v>18488.666666666668</v>
      </c>
      <c r="AQ193" s="152">
        <f t="shared" si="50"/>
        <v>221864</v>
      </c>
      <c r="AR193" s="76">
        <f t="shared" si="51"/>
        <v>976</v>
      </c>
      <c r="AS193" s="379">
        <f t="shared" si="52"/>
        <v>41</v>
      </c>
      <c r="AT193" s="379">
        <f t="shared" si="53"/>
        <v>9070</v>
      </c>
      <c r="AU193" s="159">
        <f t="shared" si="67"/>
        <v>2.455193139328431E-2</v>
      </c>
      <c r="AV193" s="172">
        <f t="shared" si="68"/>
        <v>0.60057218375299115</v>
      </c>
      <c r="AW193" s="160">
        <f t="shared" si="69"/>
        <v>2.5867507886435333E-2</v>
      </c>
      <c r="AX193" s="160">
        <f t="shared" si="76"/>
        <v>0.61577287066246067</v>
      </c>
      <c r="AY193" s="152">
        <v>169780</v>
      </c>
      <c r="AZ193" s="76">
        <v>1189</v>
      </c>
      <c r="BA193" s="379">
        <f t="shared" si="77"/>
        <v>26</v>
      </c>
      <c r="BB193" s="379">
        <f t="shared" si="78"/>
        <v>3375</v>
      </c>
      <c r="BC193" s="159">
        <f t="shared" si="70"/>
        <v>1.4110239644129304E-2</v>
      </c>
      <c r="BD193" s="172">
        <f t="shared" si="71"/>
        <v>0.70981821830526615</v>
      </c>
      <c r="BE193" s="160">
        <f t="shared" si="72"/>
        <v>1.5625E-2</v>
      </c>
      <c r="BF193" s="160">
        <f t="shared" si="79"/>
        <v>0.71454326923076938</v>
      </c>
      <c r="BG193" s="159">
        <v>4.371062543749514E-2</v>
      </c>
      <c r="BH193" s="172">
        <v>0.60241552871634763</v>
      </c>
      <c r="BI193" s="160">
        <v>4.048582995951417E-2</v>
      </c>
      <c r="BJ193" s="160">
        <v>0.62955465587044546</v>
      </c>
      <c r="BK193" s="159">
        <v>1.3118103469243804E-2</v>
      </c>
      <c r="BL193" s="172">
        <v>0.57795866743418667</v>
      </c>
      <c r="BM193" s="160">
        <v>1.3761467889908258E-2</v>
      </c>
      <c r="BN193" s="160">
        <v>0.60397553516819569</v>
      </c>
      <c r="BO193" s="159">
        <v>1.8130537524700806E-2</v>
      </c>
      <c r="BP193" s="172">
        <f t="shared" si="54"/>
        <v>0.50518057241367187</v>
      </c>
      <c r="BQ193" s="160">
        <v>1.984126984126984E-2</v>
      </c>
      <c r="BR193" s="160">
        <f>SUM(BQ$180:BQ193)</f>
        <v>0.49074074074074076</v>
      </c>
      <c r="BS193" s="161">
        <f>Vergleich!C15</f>
        <v>36986</v>
      </c>
      <c r="BT193" s="159">
        <v>3.6618814660357768E-2</v>
      </c>
      <c r="BU193" s="172">
        <f t="shared" si="55"/>
        <v>0.59324725318790605</v>
      </c>
      <c r="BV193" s="160">
        <v>4.3227665706051854E-2</v>
      </c>
      <c r="BW193" s="160">
        <f>SUM(BV$180:BV193)</f>
        <v>0.55619596541786742</v>
      </c>
      <c r="BX193" s="161">
        <v>125000</v>
      </c>
      <c r="BY193" s="172">
        <f>L193/$BX$203</f>
        <v>0.43795569289846087</v>
      </c>
      <c r="BZ193" s="281"/>
      <c r="CA193" s="281"/>
      <c r="CB193" s="281"/>
      <c r="CC193" s="281"/>
      <c r="CD193" s="281"/>
      <c r="CE193" s="281"/>
      <c r="CF193" s="281"/>
      <c r="CG193" s="281"/>
      <c r="CH193" s="281"/>
      <c r="CI193" s="281"/>
      <c r="CJ193" s="281"/>
      <c r="CK193" s="281"/>
      <c r="CL193" s="281"/>
      <c r="CM193" s="281"/>
      <c r="CN193" s="281"/>
      <c r="CO193" s="281"/>
      <c r="CP193" s="281"/>
      <c r="CQ193" s="281"/>
      <c r="CR193" s="281"/>
    </row>
    <row r="194" spans="1:96" s="163" customFormat="1" x14ac:dyDescent="0.3">
      <c r="A194" s="272"/>
      <c r="B194" s="281"/>
      <c r="C194" s="281"/>
      <c r="D194" s="281"/>
      <c r="E194" s="276">
        <v>13</v>
      </c>
      <c r="F194" s="357">
        <f t="shared" si="42"/>
        <v>44481.666666666664</v>
      </c>
      <c r="G194" s="310">
        <f t="shared" si="43"/>
        <v>229701</v>
      </c>
      <c r="H194" s="390">
        <f t="shared" si="44"/>
        <v>1011</v>
      </c>
      <c r="I194" s="311">
        <f t="shared" si="45"/>
        <v>141360.19627924438</v>
      </c>
      <c r="J194" s="311">
        <f t="shared" si="46"/>
        <v>239666.23747576986</v>
      </c>
      <c r="K194" s="312">
        <v>89062</v>
      </c>
      <c r="L194" s="312"/>
      <c r="M194" s="312">
        <f t="shared" si="56"/>
        <v>172436</v>
      </c>
      <c r="N194" s="410"/>
      <c r="O194" s="303"/>
      <c r="P194" s="304"/>
      <c r="Q194" s="227"/>
      <c r="R194" s="98"/>
      <c r="S194" s="169">
        <v>13</v>
      </c>
      <c r="T194" s="171">
        <f t="shared" si="57"/>
        <v>3</v>
      </c>
      <c r="U194" s="148">
        <f t="shared" si="58"/>
        <v>44481</v>
      </c>
      <c r="V194" s="149">
        <v>0.66666666666666663</v>
      </c>
      <c r="W194" s="150">
        <f t="shared" si="36"/>
        <v>44481.666666666664</v>
      </c>
      <c r="X194" s="151">
        <f t="shared" si="37"/>
        <v>13</v>
      </c>
      <c r="Y194" s="151">
        <f t="shared" si="59"/>
        <v>1</v>
      </c>
      <c r="Z194" s="164">
        <v>229701</v>
      </c>
      <c r="AA194" s="165">
        <v>1011</v>
      </c>
      <c r="AB194" s="166">
        <f t="shared" si="73"/>
        <v>35</v>
      </c>
      <c r="AC194" s="154">
        <f t="shared" si="60"/>
        <v>7837</v>
      </c>
      <c r="AD194" s="155">
        <f t="shared" si="38"/>
        <v>227.20178041543028</v>
      </c>
      <c r="AE194" s="156">
        <f t="shared" si="61"/>
        <v>223.91428571428571</v>
      </c>
      <c r="AF194" s="156">
        <f t="shared" si="88"/>
        <v>213.89497716894977</v>
      </c>
      <c r="AG194" s="154">
        <f t="shared" si="84"/>
        <v>141360.19627924438</v>
      </c>
      <c r="AH194" s="154">
        <f t="shared" si="90"/>
        <v>88340.803720755619</v>
      </c>
      <c r="AI194" s="168">
        <f t="shared" si="85"/>
        <v>593</v>
      </c>
      <c r="AJ194" s="158">
        <f t="shared" si="91"/>
        <v>418</v>
      </c>
      <c r="AK194" s="154">
        <f t="shared" si="86"/>
        <v>239666.23747576986</v>
      </c>
      <c r="AL194" s="154">
        <f t="shared" si="92"/>
        <v>-9965.2374757698562</v>
      </c>
      <c r="AM194" s="168">
        <f t="shared" si="87"/>
        <v>1077</v>
      </c>
      <c r="AN194" s="158">
        <f t="shared" si="48"/>
        <v>-66</v>
      </c>
      <c r="AO194" s="154">
        <f t="shared" si="49"/>
        <v>7837</v>
      </c>
      <c r="AP194" s="154">
        <f t="shared" si="40"/>
        <v>17669.307692307691</v>
      </c>
      <c r="AQ194" s="152">
        <f t="shared" si="50"/>
        <v>229701</v>
      </c>
      <c r="AR194" s="76">
        <f t="shared" si="51"/>
        <v>1011</v>
      </c>
      <c r="AS194" s="379">
        <f t="shared" si="52"/>
        <v>35</v>
      </c>
      <c r="AT194" s="379">
        <f t="shared" si="53"/>
        <v>7837</v>
      </c>
      <c r="AU194" s="159">
        <f t="shared" si="67"/>
        <v>2.121427633177168E-2</v>
      </c>
      <c r="AV194" s="159">
        <f t="shared" si="68"/>
        <v>0.6217864600847629</v>
      </c>
      <c r="AW194" s="160">
        <f t="shared" si="69"/>
        <v>2.2082018927444796E-2</v>
      </c>
      <c r="AX194" s="160">
        <f t="shared" si="76"/>
        <v>0.63785488958990544</v>
      </c>
      <c r="AY194" s="152">
        <v>172436</v>
      </c>
      <c r="AZ194" s="76">
        <v>1205</v>
      </c>
      <c r="BA194" s="379">
        <f t="shared" si="77"/>
        <v>16</v>
      </c>
      <c r="BB194" s="379">
        <f t="shared" si="78"/>
        <v>2656</v>
      </c>
      <c r="BC194" s="159">
        <f t="shared" si="70"/>
        <v>1.1104235998461462E-2</v>
      </c>
      <c r="BD194" s="159">
        <f t="shared" si="71"/>
        <v>0.72092245430372759</v>
      </c>
      <c r="BE194" s="160">
        <f t="shared" si="72"/>
        <v>9.6153846153846159E-3</v>
      </c>
      <c r="BF194" s="160">
        <f t="shared" si="79"/>
        <v>0.72415865384615397</v>
      </c>
      <c r="BG194" s="159">
        <v>1.518872012533194E-2</v>
      </c>
      <c r="BH194" s="159">
        <v>0.61760424884167953</v>
      </c>
      <c r="BI194" s="160">
        <v>1.6194331983805668E-2</v>
      </c>
      <c r="BJ194" s="160">
        <v>0.64574898785425117</v>
      </c>
      <c r="BK194" s="159">
        <v>2.2644538312483278E-2</v>
      </c>
      <c r="BL194" s="159">
        <v>0.60060320574666992</v>
      </c>
      <c r="BM194" s="160">
        <v>2.2935779816513763E-2</v>
      </c>
      <c r="BN194" s="160">
        <v>0.62691131498470942</v>
      </c>
      <c r="BO194" s="159">
        <v>1.7051618085973462E-2</v>
      </c>
      <c r="BP194" s="159">
        <f t="shared" si="54"/>
        <v>0.52223219049964531</v>
      </c>
      <c r="BQ194" s="160">
        <v>1.984126984126984E-2</v>
      </c>
      <c r="BR194" s="160">
        <f>SUM(BQ$180:BQ194)</f>
        <v>0.51058201058201058</v>
      </c>
      <c r="BS194" s="161">
        <f>Vergleich!C16</f>
        <v>37704</v>
      </c>
      <c r="BT194" s="159">
        <v>1.1516561071457154E-2</v>
      </c>
      <c r="BU194" s="159">
        <f t="shared" si="55"/>
        <v>0.60476381425936321</v>
      </c>
      <c r="BV194" s="160">
        <v>1.1527377521613813E-2</v>
      </c>
      <c r="BW194" s="160">
        <f>SUM(BV$180:BV194)</f>
        <v>0.56772334293948123</v>
      </c>
      <c r="BX194" s="161"/>
      <c r="BY194" s="159"/>
      <c r="BZ194" s="281"/>
      <c r="CA194" s="281"/>
      <c r="CB194" s="281"/>
      <c r="CC194" s="281"/>
      <c r="CD194" s="281"/>
      <c r="CE194" s="281"/>
      <c r="CF194" s="281"/>
      <c r="CG194" s="281"/>
      <c r="CH194" s="281"/>
      <c r="CI194" s="281"/>
      <c r="CJ194" s="281"/>
      <c r="CK194" s="281"/>
      <c r="CL194" s="281"/>
      <c r="CM194" s="281"/>
      <c r="CN194" s="281"/>
      <c r="CO194" s="281"/>
      <c r="CP194" s="281"/>
      <c r="CQ194" s="281"/>
      <c r="CR194" s="281"/>
    </row>
    <row r="195" spans="1:96" s="163" customFormat="1" x14ac:dyDescent="0.3">
      <c r="A195" s="272"/>
      <c r="B195" s="281"/>
      <c r="C195" s="281"/>
      <c r="D195" s="281"/>
      <c r="E195" s="276">
        <v>14</v>
      </c>
      <c r="F195" s="357">
        <f t="shared" si="42"/>
        <v>44482.666666666664</v>
      </c>
      <c r="G195" s="310">
        <f t="shared" si="43"/>
        <v>240791</v>
      </c>
      <c r="H195" s="390">
        <f t="shared" si="44"/>
        <v>1060</v>
      </c>
      <c r="I195" s="311">
        <f t="shared" si="45"/>
        <v>144377.31198534209</v>
      </c>
      <c r="J195" s="311">
        <f t="shared" si="46"/>
        <v>250125.78357701597</v>
      </c>
      <c r="K195" s="312">
        <v>93109</v>
      </c>
      <c r="L195" s="312"/>
      <c r="M195" s="312">
        <f t="shared" si="56"/>
        <v>176629</v>
      </c>
      <c r="N195" s="410"/>
      <c r="O195" s="303"/>
      <c r="P195" s="304"/>
      <c r="Q195" s="227"/>
      <c r="R195" s="98"/>
      <c r="S195" s="169">
        <v>14</v>
      </c>
      <c r="T195" s="171">
        <f t="shared" si="57"/>
        <v>4</v>
      </c>
      <c r="U195" s="148">
        <f t="shared" si="58"/>
        <v>44482</v>
      </c>
      <c r="V195" s="149">
        <v>0.66666666666666663</v>
      </c>
      <c r="W195" s="150">
        <f t="shared" si="36"/>
        <v>44482.666666666664</v>
      </c>
      <c r="X195" s="151">
        <f t="shared" si="37"/>
        <v>14</v>
      </c>
      <c r="Y195" s="151">
        <f t="shared" si="59"/>
        <v>1</v>
      </c>
      <c r="Z195" s="164">
        <v>240791</v>
      </c>
      <c r="AA195" s="165">
        <v>1060</v>
      </c>
      <c r="AB195" s="166">
        <f t="shared" si="73"/>
        <v>49</v>
      </c>
      <c r="AC195" s="154">
        <f t="shared" si="60"/>
        <v>11090</v>
      </c>
      <c r="AD195" s="155">
        <f t="shared" si="38"/>
        <v>227.16132075471697</v>
      </c>
      <c r="AE195" s="156">
        <f t="shared" si="61"/>
        <v>226.32653061224491</v>
      </c>
      <c r="AF195" s="156">
        <f t="shared" si="88"/>
        <v>219.09569377990431</v>
      </c>
      <c r="AG195" s="154">
        <f t="shared" si="84"/>
        <v>144377.31198534209</v>
      </c>
      <c r="AH195" s="154">
        <f t="shared" si="90"/>
        <v>96413.688014657906</v>
      </c>
      <c r="AI195" s="168">
        <f t="shared" si="85"/>
        <v>605</v>
      </c>
      <c r="AJ195" s="158">
        <f t="shared" si="91"/>
        <v>455</v>
      </c>
      <c r="AK195" s="154">
        <f t="shared" si="86"/>
        <v>250125.78357701597</v>
      </c>
      <c r="AL195" s="154">
        <f t="shared" si="92"/>
        <v>-9334.7835770159727</v>
      </c>
      <c r="AM195" s="168">
        <f t="shared" si="87"/>
        <v>1123</v>
      </c>
      <c r="AN195" s="158">
        <f t="shared" si="48"/>
        <v>-63</v>
      </c>
      <c r="AO195" s="154">
        <f t="shared" si="49"/>
        <v>11090</v>
      </c>
      <c r="AP195" s="154">
        <f t="shared" si="40"/>
        <v>17199.357142857141</v>
      </c>
      <c r="AQ195" s="152">
        <f t="shared" si="50"/>
        <v>240791</v>
      </c>
      <c r="AR195" s="76">
        <f t="shared" si="51"/>
        <v>1060</v>
      </c>
      <c r="AS195" s="379">
        <f t="shared" si="52"/>
        <v>49</v>
      </c>
      <c r="AT195" s="379">
        <f t="shared" si="53"/>
        <v>11090</v>
      </c>
      <c r="AU195" s="159">
        <f t="shared" si="67"/>
        <v>3.0019946984732412E-2</v>
      </c>
      <c r="AV195" s="159">
        <f t="shared" si="68"/>
        <v>0.65180640706949522</v>
      </c>
      <c r="AW195" s="160">
        <f t="shared" si="69"/>
        <v>3.0914826498422712E-2</v>
      </c>
      <c r="AX195" s="160">
        <f t="shared" si="76"/>
        <v>0.66876971608832814</v>
      </c>
      <c r="AY195" s="152">
        <v>176629</v>
      </c>
      <c r="AZ195" s="76">
        <v>1232</v>
      </c>
      <c r="BA195" s="379">
        <f t="shared" si="77"/>
        <v>27</v>
      </c>
      <c r="BB195" s="379">
        <f t="shared" si="78"/>
        <v>4193</v>
      </c>
      <c r="BC195" s="159">
        <f t="shared" si="70"/>
        <v>1.7530143652691607E-2</v>
      </c>
      <c r="BD195" s="159">
        <f t="shared" si="71"/>
        <v>0.73845259795641927</v>
      </c>
      <c r="BE195" s="160">
        <f t="shared" si="72"/>
        <v>1.622596153846154E-2</v>
      </c>
      <c r="BF195" s="160">
        <f t="shared" si="79"/>
        <v>0.74038461538461553</v>
      </c>
      <c r="BG195" s="159">
        <v>2.3033077410250999E-2</v>
      </c>
      <c r="BH195" s="159">
        <v>0.64063732625193048</v>
      </c>
      <c r="BI195" s="160">
        <v>2.2267206477732792E-2</v>
      </c>
      <c r="BJ195" s="160">
        <v>0.668016194331984</v>
      </c>
      <c r="BK195" s="159">
        <v>1.0799328690378706E-2</v>
      </c>
      <c r="BL195" s="159">
        <v>0.61140253443704862</v>
      </c>
      <c r="BM195" s="160">
        <v>1.0703363914373088E-2</v>
      </c>
      <c r="BN195" s="160">
        <v>0.63761467889908252</v>
      </c>
      <c r="BO195" s="159">
        <v>2.3730363959399793E-2</v>
      </c>
      <c r="BP195" s="159">
        <f t="shared" si="54"/>
        <v>0.54596255445904507</v>
      </c>
      <c r="BQ195" s="160">
        <v>2.2486772486772486E-2</v>
      </c>
      <c r="BR195" s="160">
        <f>SUM(BQ$180:BQ195)</f>
        <v>0.53306878306878303</v>
      </c>
      <c r="BS195" s="161">
        <f>Vergleich!C17</f>
        <v>38541</v>
      </c>
      <c r="BT195" s="159">
        <v>1.342529473093268E-2</v>
      </c>
      <c r="BU195" s="159">
        <f t="shared" si="55"/>
        <v>0.61818910899029589</v>
      </c>
      <c r="BV195" s="160">
        <v>2.3054755043227737E-2</v>
      </c>
      <c r="BW195" s="160">
        <f>SUM(BV$180:BV195)</f>
        <v>0.59077809798270897</v>
      </c>
      <c r="BX195" s="161"/>
      <c r="BY195" s="159"/>
      <c r="BZ195" s="281"/>
      <c r="CA195" s="281"/>
      <c r="CB195" s="281"/>
      <c r="CC195" s="281"/>
      <c r="CD195" s="281"/>
      <c r="CE195" s="281"/>
      <c r="CF195" s="281"/>
      <c r="CG195" s="281"/>
      <c r="CH195" s="281"/>
      <c r="CI195" s="281"/>
      <c r="CJ195" s="281"/>
      <c r="CK195" s="281"/>
      <c r="CL195" s="281"/>
      <c r="CM195" s="281"/>
      <c r="CN195" s="281"/>
      <c r="CO195" s="281"/>
      <c r="CP195" s="281"/>
      <c r="CQ195" s="281"/>
      <c r="CR195" s="281"/>
    </row>
    <row r="196" spans="1:96" s="163" customFormat="1" x14ac:dyDescent="0.3">
      <c r="A196" s="272"/>
      <c r="B196" s="281"/>
      <c r="C196" s="281"/>
      <c r="D196" s="281"/>
      <c r="E196" s="276">
        <v>15</v>
      </c>
      <c r="F196" s="357">
        <f t="shared" si="42"/>
        <v>44483.666666666664</v>
      </c>
      <c r="G196" s="310">
        <f t="shared" si="43"/>
        <v>249000</v>
      </c>
      <c r="H196" s="390">
        <f t="shared" si="44"/>
        <v>1096</v>
      </c>
      <c r="I196" s="311">
        <f t="shared" si="45"/>
        <v>147625.53860542309</v>
      </c>
      <c r="J196" s="311">
        <f t="shared" si="46"/>
        <v>279172.04038667731</v>
      </c>
      <c r="K196" s="312">
        <v>97466</v>
      </c>
      <c r="L196" s="312"/>
      <c r="M196" s="312">
        <f t="shared" si="56"/>
        <v>188273</v>
      </c>
      <c r="N196" s="410"/>
      <c r="O196" s="303"/>
      <c r="P196" s="304"/>
      <c r="Q196" s="227"/>
      <c r="R196" s="98"/>
      <c r="S196" s="169">
        <v>15</v>
      </c>
      <c r="T196" s="171">
        <f t="shared" si="57"/>
        <v>5</v>
      </c>
      <c r="U196" s="148">
        <f t="shared" si="58"/>
        <v>44483</v>
      </c>
      <c r="V196" s="149">
        <v>0.66666666666666663</v>
      </c>
      <c r="W196" s="150">
        <f t="shared" si="36"/>
        <v>44483.666666666664</v>
      </c>
      <c r="X196" s="151">
        <f t="shared" si="37"/>
        <v>15</v>
      </c>
      <c r="Y196" s="151">
        <f t="shared" si="59"/>
        <v>1</v>
      </c>
      <c r="Z196" s="164">
        <v>249000</v>
      </c>
      <c r="AA196" s="165">
        <v>1096</v>
      </c>
      <c r="AB196" s="166">
        <f t="shared" si="73"/>
        <v>36</v>
      </c>
      <c r="AC196" s="154">
        <f t="shared" si="60"/>
        <v>8209</v>
      </c>
      <c r="AD196" s="155">
        <f t="shared" si="38"/>
        <v>227.1897810218978</v>
      </c>
      <c r="AE196" s="156">
        <f t="shared" si="61"/>
        <v>228.02777777777777</v>
      </c>
      <c r="AF196" s="156">
        <f t="shared" si="88"/>
        <v>222.2807881773399</v>
      </c>
      <c r="AG196" s="154">
        <f t="shared" si="84"/>
        <v>147625.53860542309</v>
      </c>
      <c r="AH196" s="154">
        <f t="shared" si="90"/>
        <v>101374.46139457691</v>
      </c>
      <c r="AI196" s="168">
        <f t="shared" si="85"/>
        <v>618</v>
      </c>
      <c r="AJ196" s="158">
        <f t="shared" si="91"/>
        <v>478</v>
      </c>
      <c r="AK196" s="154">
        <f t="shared" si="86"/>
        <v>279172.04038667731</v>
      </c>
      <c r="AL196" s="154">
        <f t="shared" si="92"/>
        <v>-30172.040386677312</v>
      </c>
      <c r="AM196" s="168">
        <f t="shared" si="87"/>
        <v>1260</v>
      </c>
      <c r="AN196" s="158">
        <f t="shared" si="48"/>
        <v>-164</v>
      </c>
      <c r="AO196" s="154">
        <f t="shared" si="49"/>
        <v>8209</v>
      </c>
      <c r="AP196" s="154">
        <f t="shared" si="40"/>
        <v>16600</v>
      </c>
      <c r="AQ196" s="152">
        <f t="shared" si="50"/>
        <v>249000</v>
      </c>
      <c r="AR196" s="76">
        <f t="shared" si="51"/>
        <v>1096</v>
      </c>
      <c r="AS196" s="379">
        <f t="shared" si="52"/>
        <v>36</v>
      </c>
      <c r="AT196" s="379">
        <f t="shared" si="53"/>
        <v>8209</v>
      </c>
      <c r="AU196" s="159">
        <f t="shared" si="67"/>
        <v>2.2221257420889845E-2</v>
      </c>
      <c r="AV196" s="159">
        <f t="shared" si="68"/>
        <v>0.67402766449038509</v>
      </c>
      <c r="AW196" s="160">
        <f t="shared" si="69"/>
        <v>2.2712933753943218E-2</v>
      </c>
      <c r="AX196" s="160">
        <f t="shared" si="76"/>
        <v>0.69148264984227137</v>
      </c>
      <c r="AY196" s="152">
        <v>188273</v>
      </c>
      <c r="AZ196" s="76">
        <v>1313</v>
      </c>
      <c r="BA196" s="379">
        <f t="shared" si="77"/>
        <v>81</v>
      </c>
      <c r="BB196" s="379">
        <f t="shared" si="78"/>
        <v>11644</v>
      </c>
      <c r="BC196" s="159">
        <f t="shared" si="70"/>
        <v>4.86813719751827E-2</v>
      </c>
      <c r="BD196" s="159">
        <f t="shared" si="71"/>
        <v>0.7871339699316019</v>
      </c>
      <c r="BE196" s="160">
        <f t="shared" si="72"/>
        <v>4.8677884615384616E-2</v>
      </c>
      <c r="BF196" s="160">
        <f t="shared" si="79"/>
        <v>0.78906250000000011</v>
      </c>
      <c r="BG196" s="159">
        <v>1.6622037532916301E-2</v>
      </c>
      <c r="BH196" s="159">
        <v>0.65725936378484673</v>
      </c>
      <c r="BI196" s="160">
        <v>1.417004048582996E-2</v>
      </c>
      <c r="BJ196" s="160">
        <v>0.68218623481781393</v>
      </c>
      <c r="BK196" s="159">
        <v>1.3012704615659027E-2</v>
      </c>
      <c r="BL196" s="159">
        <v>0.62441523905270768</v>
      </c>
      <c r="BM196" s="160">
        <v>1.5290519877675841E-2</v>
      </c>
      <c r="BN196" s="160">
        <v>0.65290519877675834</v>
      </c>
      <c r="BO196" s="159">
        <v>2.5548108665951298E-2</v>
      </c>
      <c r="BP196" s="159">
        <f t="shared" si="54"/>
        <v>0.57151066312499632</v>
      </c>
      <c r="BQ196" s="160">
        <v>2.5132275132275131E-2</v>
      </c>
      <c r="BR196" s="160">
        <f>SUM(BQ$180:BQ196)</f>
        <v>0.55820105820105814</v>
      </c>
      <c r="BS196" s="161">
        <f>Vergleich!C18</f>
        <v>40401</v>
      </c>
      <c r="BT196" s="159">
        <v>2.9833988290961622E-2</v>
      </c>
      <c r="BU196" s="159">
        <f t="shared" si="55"/>
        <v>0.64802309728125751</v>
      </c>
      <c r="BV196" s="160">
        <v>2.5936599423631135E-2</v>
      </c>
      <c r="BW196" s="160">
        <f>SUM(BV$180:BV196)</f>
        <v>0.61671469740634011</v>
      </c>
      <c r="BX196" s="161"/>
      <c r="BY196" s="159"/>
      <c r="BZ196" s="281"/>
      <c r="CA196" s="281"/>
      <c r="CB196" s="281"/>
      <c r="CC196" s="281"/>
      <c r="CD196" s="281"/>
      <c r="CE196" s="281"/>
      <c r="CF196" s="281"/>
      <c r="CG196" s="281"/>
      <c r="CH196" s="281"/>
      <c r="CI196" s="281"/>
      <c r="CJ196" s="281"/>
      <c r="CK196" s="281"/>
      <c r="CL196" s="281"/>
      <c r="CM196" s="281"/>
      <c r="CN196" s="281"/>
      <c r="CO196" s="281"/>
      <c r="CP196" s="281"/>
      <c r="CQ196" s="281"/>
      <c r="CR196" s="281"/>
    </row>
    <row r="197" spans="1:96" s="163" customFormat="1" x14ac:dyDescent="0.3">
      <c r="A197" s="272"/>
      <c r="B197" s="281"/>
      <c r="C197" s="281"/>
      <c r="D197" s="281"/>
      <c r="E197" s="276">
        <v>16</v>
      </c>
      <c r="F197" s="357">
        <f t="shared" si="42"/>
        <v>44484.666666666664</v>
      </c>
      <c r="G197" s="310">
        <f t="shared" si="43"/>
        <v>257666</v>
      </c>
      <c r="H197" s="390">
        <f t="shared" si="44"/>
        <v>1134</v>
      </c>
      <c r="I197" s="311">
        <f t="shared" si="45"/>
        <v>152088.2158025323</v>
      </c>
      <c r="J197" s="311">
        <f t="shared" si="46"/>
        <v>291622.21796629083</v>
      </c>
      <c r="K197" s="312">
        <v>103452</v>
      </c>
      <c r="L197" s="312"/>
      <c r="M197" s="312">
        <f t="shared" si="56"/>
        <v>193264</v>
      </c>
      <c r="N197" s="410"/>
      <c r="O197" s="303"/>
      <c r="P197" s="304"/>
      <c r="Q197" s="227"/>
      <c r="R197" s="98"/>
      <c r="S197" s="169">
        <v>16</v>
      </c>
      <c r="T197" s="171">
        <f t="shared" si="57"/>
        <v>6</v>
      </c>
      <c r="U197" s="148">
        <f t="shared" si="58"/>
        <v>44484</v>
      </c>
      <c r="V197" s="149">
        <v>0.66666666666666663</v>
      </c>
      <c r="W197" s="150">
        <f t="shared" si="36"/>
        <v>44484.666666666664</v>
      </c>
      <c r="X197" s="151">
        <f t="shared" si="37"/>
        <v>16</v>
      </c>
      <c r="Y197" s="151">
        <f t="shared" si="59"/>
        <v>1</v>
      </c>
      <c r="Z197" s="164">
        <v>257666</v>
      </c>
      <c r="AA197" s="165">
        <v>1134</v>
      </c>
      <c r="AB197" s="166">
        <f t="shared" si="73"/>
        <v>38</v>
      </c>
      <c r="AC197" s="154">
        <f t="shared" si="60"/>
        <v>8666</v>
      </c>
      <c r="AD197" s="155">
        <f t="shared" si="38"/>
        <v>227.21869488536154</v>
      </c>
      <c r="AE197" s="156">
        <f t="shared" si="61"/>
        <v>228.05263157894737</v>
      </c>
      <c r="AF197" s="156">
        <f t="shared" si="88"/>
        <v>225.48743718592965</v>
      </c>
      <c r="AG197" s="154">
        <f t="shared" si="84"/>
        <v>152088.2158025323</v>
      </c>
      <c r="AH197" s="154">
        <f t="shared" si="90"/>
        <v>105577.7841974677</v>
      </c>
      <c r="AI197" s="168">
        <f t="shared" si="85"/>
        <v>634</v>
      </c>
      <c r="AJ197" s="158">
        <f t="shared" si="91"/>
        <v>500</v>
      </c>
      <c r="AK197" s="154">
        <f t="shared" si="86"/>
        <v>291622.21796629083</v>
      </c>
      <c r="AL197" s="154">
        <f t="shared" si="92"/>
        <v>-33956.217966290831</v>
      </c>
      <c r="AM197" s="168">
        <f t="shared" si="87"/>
        <v>1322</v>
      </c>
      <c r="AN197" s="158">
        <f t="shared" si="48"/>
        <v>-188</v>
      </c>
      <c r="AO197" s="154">
        <f t="shared" si="49"/>
        <v>8666</v>
      </c>
      <c r="AP197" s="154">
        <f t="shared" si="40"/>
        <v>16104.125</v>
      </c>
      <c r="AQ197" s="152">
        <f t="shared" si="50"/>
        <v>257666</v>
      </c>
      <c r="AR197" s="76">
        <f t="shared" si="51"/>
        <v>1134</v>
      </c>
      <c r="AS197" s="379">
        <f t="shared" si="52"/>
        <v>38</v>
      </c>
      <c r="AT197" s="379">
        <f t="shared" si="53"/>
        <v>8666</v>
      </c>
      <c r="AU197" s="159">
        <f t="shared" si="67"/>
        <v>2.3458328274994687E-2</v>
      </c>
      <c r="AV197" s="159">
        <f t="shared" si="68"/>
        <v>0.69748599276537981</v>
      </c>
      <c r="AW197" s="160">
        <f t="shared" si="69"/>
        <v>2.3974763406940065E-2</v>
      </c>
      <c r="AX197" s="160">
        <f t="shared" si="76"/>
        <v>0.71545741324921142</v>
      </c>
      <c r="AY197" s="152">
        <v>193264</v>
      </c>
      <c r="AZ197" s="76">
        <v>1350</v>
      </c>
      <c r="BA197" s="379">
        <f t="shared" si="77"/>
        <v>37</v>
      </c>
      <c r="BB197" s="379">
        <f t="shared" si="78"/>
        <v>4991</v>
      </c>
      <c r="BC197" s="159">
        <f t="shared" si="70"/>
        <v>2.0866431426325736E-2</v>
      </c>
      <c r="BD197" s="159">
        <f t="shared" si="71"/>
        <v>0.80800040135792761</v>
      </c>
      <c r="BE197" s="160">
        <f t="shared" si="72"/>
        <v>2.2235576923076924E-2</v>
      </c>
      <c r="BF197" s="160">
        <f t="shared" si="79"/>
        <v>0.81129807692307698</v>
      </c>
      <c r="BG197" s="159">
        <v>2.9866334818502017E-2</v>
      </c>
      <c r="BH197" s="159">
        <v>0.68712569860334871</v>
      </c>
      <c r="BI197" s="160">
        <v>2.4291497975708502E-2</v>
      </c>
      <c r="BJ197" s="160">
        <v>0.70647773279352244</v>
      </c>
      <c r="BK197" s="159">
        <v>2.4590363301740702E-2</v>
      </c>
      <c r="BL197" s="159">
        <v>0.64900560235444837</v>
      </c>
      <c r="BM197" s="160">
        <v>2.5993883792048929E-2</v>
      </c>
      <c r="BN197" s="160">
        <v>0.67889908256880727</v>
      </c>
      <c r="BO197" s="159">
        <v>3.5100063914249358E-2</v>
      </c>
      <c r="BP197" s="159">
        <f t="shared" si="54"/>
        <v>0.60661072703924568</v>
      </c>
      <c r="BQ197" s="160">
        <v>3.0423280423280422E-2</v>
      </c>
      <c r="BR197" s="160">
        <f>SUM(BQ$180:BQ197)</f>
        <v>0.58862433862433861</v>
      </c>
      <c r="BS197" s="161">
        <f>Vergleich!C19</f>
        <v>42277</v>
      </c>
      <c r="BT197" s="159">
        <v>3.0090624749378514E-2</v>
      </c>
      <c r="BU197" s="159">
        <f t="shared" si="55"/>
        <v>0.67811372203063602</v>
      </c>
      <c r="BV197" s="160">
        <v>2.8818443804034533E-2</v>
      </c>
      <c r="BW197" s="160">
        <f>SUM(BV$180:BV197)</f>
        <v>0.64553314121037464</v>
      </c>
      <c r="BX197" s="161"/>
      <c r="BY197" s="159"/>
      <c r="BZ197" s="281"/>
      <c r="CA197" s="281"/>
      <c r="CB197" s="281"/>
      <c r="CC197" s="281"/>
      <c r="CD197" s="281"/>
      <c r="CE197" s="281"/>
      <c r="CF197" s="281"/>
      <c r="CG197" s="281"/>
      <c r="CH197" s="281"/>
      <c r="CI197" s="281"/>
      <c r="CJ197" s="281"/>
      <c r="CK197" s="281"/>
      <c r="CL197" s="281"/>
      <c r="CM197" s="281"/>
      <c r="CN197" s="281"/>
      <c r="CO197" s="281"/>
      <c r="CP197" s="281"/>
      <c r="CQ197" s="281"/>
      <c r="CR197" s="281"/>
    </row>
    <row r="198" spans="1:96" s="163" customFormat="1" x14ac:dyDescent="0.3">
      <c r="A198" s="272"/>
      <c r="B198" s="281"/>
      <c r="C198" s="281"/>
      <c r="D198" s="281"/>
      <c r="E198" s="276">
        <v>17</v>
      </c>
      <c r="F198" s="357">
        <f t="shared" si="42"/>
        <v>44485.666666666664</v>
      </c>
      <c r="G198" s="310">
        <f t="shared" si="43"/>
        <v>268894</v>
      </c>
      <c r="H198" s="390">
        <f t="shared" si="44"/>
        <v>1160</v>
      </c>
      <c r="I198" s="311">
        <f t="shared" si="45"/>
        <v>156632.15457907433</v>
      </c>
      <c r="J198" s="311">
        <f t="shared" si="46"/>
        <v>304087.36269987701</v>
      </c>
      <c r="K198" s="312">
        <v>109547</v>
      </c>
      <c r="L198" s="312"/>
      <c r="M198" s="312">
        <f t="shared" si="56"/>
        <v>198261</v>
      </c>
      <c r="N198" s="410"/>
      <c r="O198" s="303"/>
      <c r="P198" s="304"/>
      <c r="Q198" s="227"/>
      <c r="R198" s="98"/>
      <c r="S198" s="169">
        <v>17</v>
      </c>
      <c r="T198" s="171">
        <f t="shared" si="57"/>
        <v>7</v>
      </c>
      <c r="U198" s="148">
        <f t="shared" si="58"/>
        <v>44485</v>
      </c>
      <c r="V198" s="149">
        <v>0.66666666666666663</v>
      </c>
      <c r="W198" s="150">
        <f t="shared" si="36"/>
        <v>44485.666666666664</v>
      </c>
      <c r="X198" s="151">
        <f t="shared" si="37"/>
        <v>17</v>
      </c>
      <c r="Y198" s="151">
        <f t="shared" si="59"/>
        <v>1</v>
      </c>
      <c r="Z198" s="164">
        <v>268894</v>
      </c>
      <c r="AA198" s="165">
        <v>1160</v>
      </c>
      <c r="AB198" s="166">
        <f t="shared" si="73"/>
        <v>26</v>
      </c>
      <c r="AC198" s="154">
        <f t="shared" si="60"/>
        <v>11228</v>
      </c>
      <c r="AD198" s="155">
        <f t="shared" si="38"/>
        <v>231.80517241379312</v>
      </c>
      <c r="AE198" s="156">
        <f t="shared" si="61"/>
        <v>431.84615384615387</v>
      </c>
      <c r="AF198" s="156">
        <f t="shared" si="88"/>
        <v>255.59782608695653</v>
      </c>
      <c r="AG198" s="154">
        <f t="shared" si="84"/>
        <v>156632.15457907433</v>
      </c>
      <c r="AH198" s="154">
        <f t="shared" si="90"/>
        <v>112261.84542092567</v>
      </c>
      <c r="AI198" s="168">
        <f t="shared" si="85"/>
        <v>652</v>
      </c>
      <c r="AJ198" s="158">
        <f t="shared" si="91"/>
        <v>508</v>
      </c>
      <c r="AK198" s="154">
        <f t="shared" si="86"/>
        <v>304087.36269987701</v>
      </c>
      <c r="AL198" s="154">
        <f t="shared" si="92"/>
        <v>-35193.362699877005</v>
      </c>
      <c r="AM198" s="168">
        <f t="shared" si="87"/>
        <v>1379</v>
      </c>
      <c r="AN198" s="158">
        <f t="shared" si="48"/>
        <v>-219</v>
      </c>
      <c r="AO198" s="154">
        <f t="shared" si="49"/>
        <v>11228</v>
      </c>
      <c r="AP198" s="154">
        <f t="shared" si="40"/>
        <v>15817.294117647059</v>
      </c>
      <c r="AQ198" s="152">
        <f t="shared" si="50"/>
        <v>268894</v>
      </c>
      <c r="AR198" s="76">
        <f t="shared" si="51"/>
        <v>1160</v>
      </c>
      <c r="AS198" s="379">
        <f t="shared" si="52"/>
        <v>26</v>
      </c>
      <c r="AT198" s="379">
        <f t="shared" si="53"/>
        <v>11228</v>
      </c>
      <c r="AU198" s="159">
        <f t="shared" si="67"/>
        <v>3.0393504485534312E-2</v>
      </c>
      <c r="AV198" s="159">
        <f t="shared" si="68"/>
        <v>0.72787949725091416</v>
      </c>
      <c r="AW198" s="160">
        <f t="shared" si="69"/>
        <v>1.6403785488958992E-2</v>
      </c>
      <c r="AX198" s="160">
        <f t="shared" si="76"/>
        <v>0.73186119873817046</v>
      </c>
      <c r="AY198" s="152">
        <v>198261</v>
      </c>
      <c r="AZ198" s="76">
        <v>1384</v>
      </c>
      <c r="BA198" s="379">
        <f t="shared" si="77"/>
        <v>34</v>
      </c>
      <c r="BB198" s="379">
        <f t="shared" si="78"/>
        <v>4997</v>
      </c>
      <c r="BC198" s="159">
        <f t="shared" si="70"/>
        <v>2.0891516296804188E-2</v>
      </c>
      <c r="BD198" s="159">
        <f t="shared" si="71"/>
        <v>0.8288919176547318</v>
      </c>
      <c r="BE198" s="160">
        <f t="shared" si="72"/>
        <v>2.0432692307692308E-2</v>
      </c>
      <c r="BF198" s="160">
        <f t="shared" si="79"/>
        <v>0.83173076923076927</v>
      </c>
      <c r="BG198" s="159">
        <v>2.6844146176153598E-2</v>
      </c>
      <c r="BH198" s="159">
        <v>0.71396984477950232</v>
      </c>
      <c r="BI198" s="160">
        <v>2.8340080971659919E-2</v>
      </c>
      <c r="BJ198" s="160">
        <v>0.7348178137651824</v>
      </c>
      <c r="BK198" s="159">
        <v>5.5001986363009868E-2</v>
      </c>
      <c r="BL198" s="159">
        <v>0.70400758871745828</v>
      </c>
      <c r="BM198" s="160">
        <v>6.5749235474006115E-2</v>
      </c>
      <c r="BN198" s="160">
        <v>0.7446483180428134</v>
      </c>
      <c r="BO198" s="159">
        <v>3.5739206407843276E-2</v>
      </c>
      <c r="BP198" s="159">
        <f t="shared" si="54"/>
        <v>0.64234993344708891</v>
      </c>
      <c r="BQ198" s="160">
        <v>3.439153439153439E-2</v>
      </c>
      <c r="BR198" s="160">
        <f>SUM(BQ183:BQ198)</f>
        <v>0.38624338624338628</v>
      </c>
      <c r="BS198" s="161">
        <f>Vergleich!C20</f>
        <v>44039</v>
      </c>
      <c r="BT198" s="159">
        <v>2.8262089983158156E-2</v>
      </c>
      <c r="BU198" s="159">
        <f t="shared" si="55"/>
        <v>0.70637581201379418</v>
      </c>
      <c r="BV198" s="160">
        <v>2.5936599423631135E-2</v>
      </c>
      <c r="BW198" s="160">
        <f>SUM(BV183:BV198)</f>
        <v>0.46109510086455335</v>
      </c>
      <c r="BX198" s="161"/>
      <c r="BY198" s="159"/>
      <c r="BZ198" s="281"/>
      <c r="CA198" s="281"/>
      <c r="CB198" s="281"/>
      <c r="CC198" s="281"/>
      <c r="CD198" s="281"/>
      <c r="CE198" s="281"/>
      <c r="CF198" s="281"/>
      <c r="CG198" s="281"/>
      <c r="CH198" s="281"/>
      <c r="CI198" s="281"/>
      <c r="CJ198" s="281"/>
      <c r="CK198" s="281"/>
      <c r="CL198" s="281"/>
      <c r="CM198" s="281"/>
      <c r="CN198" s="281"/>
      <c r="CO198" s="281"/>
      <c r="CP198" s="281"/>
      <c r="CQ198" s="281"/>
      <c r="CR198" s="281"/>
    </row>
    <row r="199" spans="1:96" s="163" customFormat="1" x14ac:dyDescent="0.3">
      <c r="A199" s="272"/>
      <c r="B199" s="281"/>
      <c r="C199" s="281"/>
      <c r="D199" s="281"/>
      <c r="E199" s="276">
        <v>18</v>
      </c>
      <c r="F199" s="357">
        <f t="shared" si="42"/>
        <v>44486.666666666664</v>
      </c>
      <c r="G199" s="310">
        <f t="shared" si="43"/>
        <v>280832</v>
      </c>
      <c r="H199" s="390">
        <f t="shared" si="44"/>
        <v>1210</v>
      </c>
      <c r="I199" s="311">
        <f t="shared" si="45"/>
        <v>161010.58812044124</v>
      </c>
      <c r="J199" s="311">
        <f t="shared" si="46"/>
        <v>316205.76836642926</v>
      </c>
      <c r="K199" s="312">
        <v>115420</v>
      </c>
      <c r="L199" s="312"/>
      <c r="M199" s="312">
        <f t="shared" si="56"/>
        <v>203119</v>
      </c>
      <c r="N199" s="410"/>
      <c r="O199" s="303"/>
      <c r="P199" s="304"/>
      <c r="Q199" s="227"/>
      <c r="R199" s="98"/>
      <c r="S199" s="169">
        <v>18</v>
      </c>
      <c r="T199" s="171">
        <f t="shared" si="57"/>
        <v>1</v>
      </c>
      <c r="U199" s="148">
        <f t="shared" si="58"/>
        <v>44486</v>
      </c>
      <c r="V199" s="149">
        <v>0.66666666666666663</v>
      </c>
      <c r="W199" s="150">
        <f t="shared" si="36"/>
        <v>44486.666666666664</v>
      </c>
      <c r="X199" s="151">
        <f t="shared" si="37"/>
        <v>18</v>
      </c>
      <c r="Y199" s="151">
        <f t="shared" si="59"/>
        <v>1</v>
      </c>
      <c r="Z199" s="164">
        <v>280832</v>
      </c>
      <c r="AA199" s="165">
        <v>1210</v>
      </c>
      <c r="AB199" s="166">
        <f t="shared" si="73"/>
        <v>50</v>
      </c>
      <c r="AC199" s="154">
        <f t="shared" si="60"/>
        <v>11938</v>
      </c>
      <c r="AD199" s="155">
        <f t="shared" si="38"/>
        <v>232.09256198347109</v>
      </c>
      <c r="AE199" s="156">
        <f t="shared" si="61"/>
        <v>238.76</v>
      </c>
      <c r="AF199" s="435">
        <f>AF197</f>
        <v>225.48743718592965</v>
      </c>
      <c r="AG199" s="154">
        <f t="shared" si="84"/>
        <v>161010.58812044124</v>
      </c>
      <c r="AH199" s="154">
        <f t="shared" si="90"/>
        <v>119821.41187955876</v>
      </c>
      <c r="AI199" s="168">
        <f t="shared" si="85"/>
        <v>673</v>
      </c>
      <c r="AJ199" s="158">
        <f t="shared" si="91"/>
        <v>537</v>
      </c>
      <c r="AK199" s="154">
        <f t="shared" si="86"/>
        <v>316205.76836642926</v>
      </c>
      <c r="AL199" s="154">
        <f t="shared" si="92"/>
        <v>-35373.768366429256</v>
      </c>
      <c r="AM199" s="168">
        <f t="shared" si="87"/>
        <v>1438</v>
      </c>
      <c r="AN199" s="158">
        <f t="shared" si="48"/>
        <v>-228</v>
      </c>
      <c r="AO199" s="154">
        <f t="shared" si="49"/>
        <v>11938</v>
      </c>
      <c r="AP199" s="154">
        <f t="shared" si="40"/>
        <v>15601.777777777777</v>
      </c>
      <c r="AQ199" s="152">
        <f t="shared" si="50"/>
        <v>280832</v>
      </c>
      <c r="AR199" s="76">
        <f t="shared" si="51"/>
        <v>1210</v>
      </c>
      <c r="AS199" s="379">
        <f t="shared" si="52"/>
        <v>50</v>
      </c>
      <c r="AT199" s="379">
        <f t="shared" si="53"/>
        <v>11938</v>
      </c>
      <c r="AU199" s="159">
        <f t="shared" si="67"/>
        <v>3.2315430757775973E-2</v>
      </c>
      <c r="AV199" s="159">
        <f t="shared" si="68"/>
        <v>0.76019492800869004</v>
      </c>
      <c r="AW199" s="160">
        <f t="shared" si="69"/>
        <v>3.1545741324921134E-2</v>
      </c>
      <c r="AX199" s="160">
        <f t="shared" si="76"/>
        <v>0.76340694006309162</v>
      </c>
      <c r="AY199" s="152">
        <v>203119</v>
      </c>
      <c r="AZ199" s="76">
        <v>1419</v>
      </c>
      <c r="BA199" s="379">
        <f t="shared" si="77"/>
        <v>35</v>
      </c>
      <c r="BB199" s="379">
        <f t="shared" si="78"/>
        <v>4858</v>
      </c>
      <c r="BC199" s="159">
        <f t="shared" si="70"/>
        <v>2.031038346405338E-2</v>
      </c>
      <c r="BD199" s="159">
        <f t="shared" si="71"/>
        <v>0.84920230111878525</v>
      </c>
      <c r="BE199" s="160">
        <f t="shared" si="72"/>
        <v>2.1033653846153848E-2</v>
      </c>
      <c r="BF199" s="160">
        <f t="shared" si="79"/>
        <v>0.85276442307692313</v>
      </c>
      <c r="BG199" s="159">
        <v>2.7677470250330551E-2</v>
      </c>
      <c r="BH199" s="159">
        <v>0.74164731502983283</v>
      </c>
      <c r="BI199" s="160">
        <v>2.8340080971659919E-2</v>
      </c>
      <c r="BJ199" s="160">
        <v>0.76315789473684237</v>
      </c>
      <c r="BK199" s="159">
        <v>4.1681192790718413E-2</v>
      </c>
      <c r="BL199" s="159">
        <v>0.74568878150817675</v>
      </c>
      <c r="BM199" s="160">
        <v>4.1284403669724773E-2</v>
      </c>
      <c r="BN199" s="160">
        <v>0.78593272171253814</v>
      </c>
      <c r="BO199" s="159">
        <v>3.4437466650248327E-2</v>
      </c>
      <c r="BP199" s="159">
        <f t="shared" si="54"/>
        <v>0.67678740009733729</v>
      </c>
      <c r="BQ199" s="160">
        <v>3.968253968253968E-2</v>
      </c>
      <c r="BR199" s="160">
        <f>SUM(BQ$180:BQ199)</f>
        <v>0.66269841269841268</v>
      </c>
      <c r="BS199" s="161">
        <f>Vergleich!C21</f>
        <v>46661</v>
      </c>
      <c r="BT199" s="159">
        <v>4.205629962306523E-2</v>
      </c>
      <c r="BU199" s="159">
        <f t="shared" si="55"/>
        <v>0.74843211163685941</v>
      </c>
      <c r="BV199" s="160">
        <v>4.8991354466858761E-2</v>
      </c>
      <c r="BW199" s="160">
        <f>SUM(BV$180:BV199)</f>
        <v>0.72046109510086453</v>
      </c>
      <c r="BX199" s="161"/>
      <c r="BY199" s="159"/>
      <c r="BZ199" s="281"/>
      <c r="CA199" s="281"/>
      <c r="CB199" s="281"/>
      <c r="CC199" s="281"/>
      <c r="CD199" s="281"/>
      <c r="CE199" s="281"/>
      <c r="CF199" s="281"/>
      <c r="CG199" s="281"/>
      <c r="CH199" s="281"/>
      <c r="CI199" s="281"/>
      <c r="CJ199" s="281"/>
      <c r="CK199" s="281"/>
      <c r="CL199" s="281"/>
      <c r="CM199" s="281"/>
      <c r="CN199" s="281"/>
      <c r="CO199" s="281"/>
      <c r="CP199" s="281"/>
      <c r="CQ199" s="281"/>
      <c r="CR199" s="281"/>
    </row>
    <row r="200" spans="1:96" s="163" customFormat="1" x14ac:dyDescent="0.3">
      <c r="A200" s="272"/>
      <c r="B200" s="281"/>
      <c r="C200" s="281"/>
      <c r="D200" s="281"/>
      <c r="E200" s="276">
        <v>19</v>
      </c>
      <c r="F200" s="357">
        <f t="shared" si="42"/>
        <v>44487.666666666664</v>
      </c>
      <c r="G200" s="310">
        <f t="shared" si="43"/>
        <v>299641</v>
      </c>
      <c r="H200" s="390">
        <f t="shared" si="44"/>
        <v>1290</v>
      </c>
      <c r="I200" s="311">
        <f t="shared" si="45"/>
        <v>167065.69406680291</v>
      </c>
      <c r="J200" s="311">
        <f t="shared" si="46"/>
        <v>338823.63254482148</v>
      </c>
      <c r="K200" s="312">
        <v>123542</v>
      </c>
      <c r="L200" s="312"/>
      <c r="M200" s="312">
        <f t="shared" si="56"/>
        <v>212186</v>
      </c>
      <c r="N200" s="410"/>
      <c r="O200" s="303"/>
      <c r="P200" s="304"/>
      <c r="Q200" s="227"/>
      <c r="R200" s="98"/>
      <c r="S200" s="169">
        <v>19</v>
      </c>
      <c r="T200" s="171">
        <f t="shared" si="57"/>
        <v>2</v>
      </c>
      <c r="U200" s="148">
        <f t="shared" si="58"/>
        <v>44487</v>
      </c>
      <c r="V200" s="149">
        <v>0.66666666666666663</v>
      </c>
      <c r="W200" s="150">
        <f t="shared" si="36"/>
        <v>44487.666666666664</v>
      </c>
      <c r="X200" s="151">
        <f t="shared" si="37"/>
        <v>19</v>
      </c>
      <c r="Y200" s="151">
        <f t="shared" si="59"/>
        <v>1</v>
      </c>
      <c r="Z200" s="164">
        <v>299641</v>
      </c>
      <c r="AA200" s="165">
        <v>1290</v>
      </c>
      <c r="AB200" s="166">
        <f t="shared" si="73"/>
        <v>80</v>
      </c>
      <c r="AC200" s="154">
        <f t="shared" si="60"/>
        <v>18809</v>
      </c>
      <c r="AD200" s="155">
        <f t="shared" si="38"/>
        <v>232.27984496124031</v>
      </c>
      <c r="AE200" s="156">
        <f t="shared" si="61"/>
        <v>235.11250000000001</v>
      </c>
      <c r="AF200" s="156">
        <f>SUM(AC195:AC$197,AC$199:AC200)/SUM(AB195:AB$197,AB$199:AB200)</f>
        <v>232.06324110671937</v>
      </c>
      <c r="AG200" s="154">
        <f t="shared" si="84"/>
        <v>167065.69406680291</v>
      </c>
      <c r="AH200" s="154">
        <f t="shared" si="90"/>
        <v>132575.30593319709</v>
      </c>
      <c r="AI200" s="168">
        <f t="shared" si="85"/>
        <v>698</v>
      </c>
      <c r="AJ200" s="158">
        <f t="shared" si="91"/>
        <v>592</v>
      </c>
      <c r="AK200" s="154">
        <f t="shared" si="86"/>
        <v>338823.63254482148</v>
      </c>
      <c r="AL200" s="154">
        <f t="shared" si="92"/>
        <v>-39182.632544821477</v>
      </c>
      <c r="AM200" s="168">
        <f t="shared" si="87"/>
        <v>1546</v>
      </c>
      <c r="AN200" s="158">
        <f t="shared" si="48"/>
        <v>-256</v>
      </c>
      <c r="AO200" s="154">
        <f t="shared" si="49"/>
        <v>18809</v>
      </c>
      <c r="AP200" s="154">
        <f t="shared" si="40"/>
        <v>15770.578947368422</v>
      </c>
      <c r="AQ200" s="152">
        <f t="shared" si="50"/>
        <v>299641</v>
      </c>
      <c r="AR200" s="76">
        <f t="shared" si="51"/>
        <v>1290</v>
      </c>
      <c r="AS200" s="379">
        <f t="shared" si="52"/>
        <v>80</v>
      </c>
      <c r="AT200" s="379">
        <f t="shared" si="53"/>
        <v>18809</v>
      </c>
      <c r="AU200" s="159">
        <f t="shared" si="67"/>
        <v>5.0914804583934353E-2</v>
      </c>
      <c r="AV200" s="159">
        <f t="shared" si="68"/>
        <v>0.81110973259262442</v>
      </c>
      <c r="AW200" s="160">
        <f t="shared" si="69"/>
        <v>5.0473186119873815E-2</v>
      </c>
      <c r="AX200" s="160">
        <f t="shared" si="76"/>
        <v>0.81388012618296546</v>
      </c>
      <c r="AY200" s="152">
        <v>212186</v>
      </c>
      <c r="AZ200" s="76">
        <v>1483</v>
      </c>
      <c r="BA200" s="379">
        <f t="shared" si="77"/>
        <v>64</v>
      </c>
      <c r="BB200" s="379">
        <f t="shared" si="78"/>
        <v>9067</v>
      </c>
      <c r="BC200" s="159">
        <f t="shared" si="70"/>
        <v>3.7907420104687527E-2</v>
      </c>
      <c r="BD200" s="159">
        <f t="shared" si="71"/>
        <v>0.88710972122347276</v>
      </c>
      <c r="BE200" s="160">
        <f t="shared" si="72"/>
        <v>3.8461538461538464E-2</v>
      </c>
      <c r="BF200" s="160">
        <f t="shared" si="79"/>
        <v>0.89122596153846156</v>
      </c>
      <c r="BG200" s="159">
        <v>5.2043866179264674E-2</v>
      </c>
      <c r="BH200" s="159">
        <v>0.79369118120909754</v>
      </c>
      <c r="BI200" s="160">
        <v>4.8582995951417005E-2</v>
      </c>
      <c r="BJ200" s="160">
        <v>0.81174089068825939</v>
      </c>
      <c r="BK200" s="159">
        <v>7.4557527505046989E-2</v>
      </c>
      <c r="BL200" s="159">
        <v>0.82024630901322371</v>
      </c>
      <c r="BM200" s="160">
        <v>5.3516819571865444E-2</v>
      </c>
      <c r="BN200" s="160">
        <v>0.83944954128440363</v>
      </c>
      <c r="BO200" s="159">
        <v>4.76249113116494E-2</v>
      </c>
      <c r="BP200" s="159">
        <f t="shared" si="54"/>
        <v>0.72441231140898665</v>
      </c>
      <c r="BQ200" s="160">
        <v>4.7619047619047616E-2</v>
      </c>
      <c r="BR200" s="160">
        <f>SUM(BQ$180:BQ200)</f>
        <v>0.71031746031746024</v>
      </c>
      <c r="BS200" s="161">
        <f>Vergleich!C22</f>
        <v>49576</v>
      </c>
      <c r="BT200" s="159">
        <v>4.6755954767824237E-2</v>
      </c>
      <c r="BU200" s="159">
        <f t="shared" si="55"/>
        <v>0.79518806640468365</v>
      </c>
      <c r="BV200" s="160">
        <v>4.8991354466858761E-2</v>
      </c>
      <c r="BW200" s="160">
        <f>SUM(BV$180:BV200)</f>
        <v>0.7694524495677233</v>
      </c>
      <c r="BX200" s="161"/>
      <c r="BY200" s="159"/>
      <c r="BZ200" s="281"/>
      <c r="CA200" s="281"/>
      <c r="CB200" s="281"/>
      <c r="CC200" s="281"/>
      <c r="CD200" s="281"/>
      <c r="CE200" s="281"/>
      <c r="CF200" s="281"/>
      <c r="CG200" s="281"/>
      <c r="CH200" s="281"/>
      <c r="CI200" s="281"/>
      <c r="CJ200" s="281"/>
      <c r="CK200" s="281"/>
      <c r="CL200" s="281"/>
      <c r="CM200" s="281"/>
      <c r="CN200" s="281"/>
      <c r="CO200" s="281"/>
      <c r="CP200" s="281"/>
      <c r="CQ200" s="281"/>
      <c r="CR200" s="281"/>
    </row>
    <row r="201" spans="1:96" s="163" customFormat="1" x14ac:dyDescent="0.3">
      <c r="A201" s="272"/>
      <c r="B201" s="281"/>
      <c r="C201" s="281"/>
      <c r="D201" s="281"/>
      <c r="E201" s="276">
        <v>20</v>
      </c>
      <c r="F201" s="357">
        <f t="shared" si="42"/>
        <v>44488.666666666664</v>
      </c>
      <c r="G201" s="310">
        <f t="shared" si="43"/>
        <v>330836</v>
      </c>
      <c r="H201" s="390">
        <f t="shared" si="44"/>
        <v>1421</v>
      </c>
      <c r="I201" s="311">
        <f t="shared" si="45"/>
        <v>172121.80444949496</v>
      </c>
      <c r="J201" s="311">
        <f t="shared" si="46"/>
        <v>360553.44558750093</v>
      </c>
      <c r="K201" s="312">
        <v>130324</v>
      </c>
      <c r="L201" s="312"/>
      <c r="M201" s="312">
        <f t="shared" si="56"/>
        <v>220897</v>
      </c>
      <c r="N201" s="410"/>
      <c r="O201" s="303"/>
      <c r="P201" s="304"/>
      <c r="Q201" s="227"/>
      <c r="R201" s="98"/>
      <c r="S201" s="169">
        <v>20</v>
      </c>
      <c r="T201" s="171">
        <f t="shared" si="57"/>
        <v>3</v>
      </c>
      <c r="U201" s="148">
        <f t="shared" si="58"/>
        <v>44488</v>
      </c>
      <c r="V201" s="149">
        <v>0.66666666666666663</v>
      </c>
      <c r="W201" s="150">
        <f t="shared" si="36"/>
        <v>44488.666666666664</v>
      </c>
      <c r="X201" s="151">
        <f t="shared" si="37"/>
        <v>20</v>
      </c>
      <c r="Y201" s="151">
        <f t="shared" si="59"/>
        <v>1</v>
      </c>
      <c r="Z201" s="164">
        <v>330836</v>
      </c>
      <c r="AA201" s="165">
        <v>1421</v>
      </c>
      <c r="AB201" s="166">
        <f t="shared" si="73"/>
        <v>131</v>
      </c>
      <c r="AC201" s="154">
        <f t="shared" si="60"/>
        <v>31195</v>
      </c>
      <c r="AD201" s="155">
        <f t="shared" si="38"/>
        <v>232.81914144968331</v>
      </c>
      <c r="AE201" s="156">
        <f t="shared" si="61"/>
        <v>238.12977099236642</v>
      </c>
      <c r="AF201" s="156">
        <f>SUM(AC196:AC$197,AC$199:AC201)/SUM(AB196:AB$197,AB$199:AB201)</f>
        <v>235.27462686567165</v>
      </c>
      <c r="AG201" s="154">
        <f t="shared" si="84"/>
        <v>172121.80444949496</v>
      </c>
      <c r="AH201" s="154">
        <f t="shared" si="90"/>
        <v>158714.19555050504</v>
      </c>
      <c r="AI201" s="168">
        <f t="shared" si="85"/>
        <v>725</v>
      </c>
      <c r="AJ201" s="158">
        <f t="shared" si="91"/>
        <v>696</v>
      </c>
      <c r="AK201" s="154">
        <f t="shared" si="86"/>
        <v>360553.44558750093</v>
      </c>
      <c r="AL201" s="154">
        <f t="shared" si="92"/>
        <v>-29717.44558750093</v>
      </c>
      <c r="AM201" s="168">
        <f t="shared" si="87"/>
        <v>1651</v>
      </c>
      <c r="AN201" s="158">
        <f t="shared" si="48"/>
        <v>-230</v>
      </c>
      <c r="AO201" s="154">
        <f t="shared" si="49"/>
        <v>31195</v>
      </c>
      <c r="AP201" s="154">
        <f t="shared" si="40"/>
        <v>16541.8</v>
      </c>
      <c r="AQ201" s="152">
        <f t="shared" si="50"/>
        <v>330836</v>
      </c>
      <c r="AR201" s="76">
        <f t="shared" si="51"/>
        <v>1421</v>
      </c>
      <c r="AS201" s="379">
        <f t="shared" si="52"/>
        <v>131</v>
      </c>
      <c r="AT201" s="379">
        <f t="shared" si="53"/>
        <v>31195</v>
      </c>
      <c r="AU201" s="159">
        <f t="shared" si="67"/>
        <v>8.4442943750110702E-2</v>
      </c>
      <c r="AV201" s="159">
        <f t="shared" si="68"/>
        <v>0.89555267634273517</v>
      </c>
      <c r="AW201" s="160">
        <f t="shared" si="69"/>
        <v>8.2649842271293378E-2</v>
      </c>
      <c r="AX201" s="160">
        <f t="shared" si="76"/>
        <v>0.89652996845425881</v>
      </c>
      <c r="AY201" s="152">
        <v>220897</v>
      </c>
      <c r="AZ201" s="76">
        <v>1545</v>
      </c>
      <c r="BA201" s="379">
        <f t="shared" si="77"/>
        <v>62</v>
      </c>
      <c r="BB201" s="379">
        <f t="shared" si="78"/>
        <v>8711</v>
      </c>
      <c r="BC201" s="159">
        <f t="shared" si="70"/>
        <v>3.6419051122966034E-2</v>
      </c>
      <c r="BD201" s="159">
        <f t="shared" si="71"/>
        <v>0.92352877234643882</v>
      </c>
      <c r="BE201" s="160">
        <f t="shared" si="72"/>
        <v>3.7259615384615384E-2</v>
      </c>
      <c r="BF201" s="160">
        <f t="shared" si="79"/>
        <v>0.92848557692307698</v>
      </c>
      <c r="BG201" s="159">
        <v>8.3999066677036924E-2</v>
      </c>
      <c r="BH201" s="159">
        <v>0.87769024788613448</v>
      </c>
      <c r="BI201" s="160">
        <v>7.8947368421052627E-2</v>
      </c>
      <c r="BJ201" s="160">
        <v>0.89068825910931204</v>
      </c>
      <c r="BK201" s="159">
        <v>6.2363690905700458E-2</v>
      </c>
      <c r="BL201" s="159">
        <v>0.88260999991892419</v>
      </c>
      <c r="BM201" s="160">
        <v>5.3516819571865444E-2</v>
      </c>
      <c r="BN201" s="160">
        <v>0.89296636085626913</v>
      </c>
      <c r="BO201" s="159">
        <v>3.9767563225265479E-2</v>
      </c>
      <c r="BP201" s="159">
        <f t="shared" si="54"/>
        <v>0.76417987463425208</v>
      </c>
      <c r="BQ201" s="160">
        <v>5.1587301587301584E-2</v>
      </c>
      <c r="BR201" s="160">
        <f>SUM(BQ$180:BQ201)</f>
        <v>0.76190476190476186</v>
      </c>
      <c r="BS201" s="161">
        <f>Vergleich!C23</f>
        <v>54612</v>
      </c>
      <c r="BT201" s="159">
        <v>8.077632528671097E-2</v>
      </c>
      <c r="BU201" s="159">
        <f t="shared" si="55"/>
        <v>0.87596439169139462</v>
      </c>
      <c r="BV201" s="160">
        <v>9.5100864553314124E-2</v>
      </c>
      <c r="BW201" s="160">
        <f>SUM(BV$180:BV201)</f>
        <v>0.86455331412103742</v>
      </c>
      <c r="BX201" s="161"/>
      <c r="BY201" s="159"/>
      <c r="BZ201" s="281"/>
      <c r="CA201" s="281"/>
      <c r="CB201" s="281"/>
      <c r="CC201" s="281"/>
      <c r="CD201" s="281"/>
      <c r="CE201" s="281"/>
      <c r="CF201" s="281"/>
      <c r="CG201" s="281"/>
      <c r="CH201" s="281"/>
      <c r="CI201" s="281"/>
      <c r="CJ201" s="281"/>
      <c r="CK201" s="281"/>
      <c r="CL201" s="281"/>
      <c r="CM201" s="281"/>
      <c r="CN201" s="281"/>
      <c r="CO201" s="281"/>
      <c r="CP201" s="281"/>
      <c r="CQ201" s="281"/>
      <c r="CR201" s="281"/>
    </row>
    <row r="202" spans="1:96" s="187" customFormat="1" x14ac:dyDescent="0.3">
      <c r="A202" s="273"/>
      <c r="B202" s="274"/>
      <c r="C202" s="274"/>
      <c r="D202" s="274"/>
      <c r="E202" s="280">
        <v>21</v>
      </c>
      <c r="F202" s="358">
        <f t="shared" si="42"/>
        <v>44489.833333333336</v>
      </c>
      <c r="G202" s="313">
        <f t="shared" si="43"/>
        <v>369421.03880597017</v>
      </c>
      <c r="H202" s="391">
        <f t="shared" si="44"/>
        <v>1585</v>
      </c>
      <c r="I202" s="308">
        <f>AG209</f>
        <v>202104.34518389867</v>
      </c>
      <c r="J202" s="310">
        <f t="shared" si="46"/>
        <v>406180.81447323738</v>
      </c>
      <c r="K202" s="387">
        <v>170541</v>
      </c>
      <c r="L202" s="388">
        <v>266116</v>
      </c>
      <c r="M202" s="389">
        <f t="shared" si="56"/>
        <v>239188</v>
      </c>
      <c r="N202" s="299"/>
      <c r="O202" s="305"/>
      <c r="P202" s="301"/>
      <c r="Q202" s="228"/>
      <c r="R202" s="173"/>
      <c r="S202" s="174">
        <v>21</v>
      </c>
      <c r="T202" s="175">
        <f t="shared" si="57"/>
        <v>4</v>
      </c>
      <c r="U202" s="176">
        <f t="shared" si="58"/>
        <v>44489</v>
      </c>
      <c r="V202" s="177">
        <v>0.83333333333333337</v>
      </c>
      <c r="W202" s="178">
        <f t="shared" si="36"/>
        <v>44489.833333333336</v>
      </c>
      <c r="X202" s="179">
        <f t="shared" si="37"/>
        <v>21.166666666671517</v>
      </c>
      <c r="Y202" s="179">
        <f t="shared" si="59"/>
        <v>1.1666666666715173</v>
      </c>
      <c r="Z202" s="381">
        <f t="shared" ref="Z202" si="93">Z201+AB202*AF201</f>
        <v>369421.03880597017</v>
      </c>
      <c r="AA202" s="91">
        <f t="shared" ref="AA202" si="94">AA201+AB202</f>
        <v>1585</v>
      </c>
      <c r="AB202" s="254">
        <f t="shared" ref="AB202" si="95">ROUND(AVERAGE((AI202-AI201),(AM202-AM201)),)</f>
        <v>164</v>
      </c>
      <c r="AC202" s="182">
        <f t="shared" si="60"/>
        <v>38585.038805970165</v>
      </c>
      <c r="AD202" s="180">
        <f t="shared" si="38"/>
        <v>233.07321060313575</v>
      </c>
      <c r="AE202" s="181">
        <f t="shared" si="61"/>
        <v>235.27462686567173</v>
      </c>
      <c r="AF202" s="156">
        <f>SUM(AC197:AC$197,AC$199:AC202)/SUM(AB197:AB$197,AB$199:AB202)</f>
        <v>235.83809677315369</v>
      </c>
      <c r="AG202" s="182">
        <f t="shared" si="84"/>
        <v>202104.34518389869</v>
      </c>
      <c r="AH202" s="157">
        <f t="shared" si="90"/>
        <v>167316.69362207147</v>
      </c>
      <c r="AI202" s="183">
        <f t="shared" si="85"/>
        <v>851</v>
      </c>
      <c r="AJ202" s="170">
        <f t="shared" si="91"/>
        <v>734</v>
      </c>
      <c r="AK202" s="182">
        <f t="shared" si="86"/>
        <v>406180.81447323738</v>
      </c>
      <c r="AL202" s="157">
        <f t="shared" si="92"/>
        <v>-36759.775667267211</v>
      </c>
      <c r="AM202" s="183">
        <f>ROUND(AM201+(AM$209-$AM$184)*BE223,)</f>
        <v>1852</v>
      </c>
      <c r="AN202" s="170">
        <f>AA207-AM209</f>
        <v>-499</v>
      </c>
      <c r="AO202" s="182">
        <f t="shared" si="49"/>
        <v>33072.890404979778</v>
      </c>
      <c r="AP202" s="182">
        <f t="shared" si="40"/>
        <v>17452.962463270182</v>
      </c>
      <c r="AQ202" s="381">
        <f t="shared" si="50"/>
        <v>369421.03880597017</v>
      </c>
      <c r="AR202" s="91">
        <f t="shared" si="51"/>
        <v>1585</v>
      </c>
      <c r="AS202" s="411">
        <f t="shared" si="52"/>
        <v>164</v>
      </c>
      <c r="AT202" s="411">
        <f t="shared" si="53"/>
        <v>38585.038805970165</v>
      </c>
      <c r="AU202" s="184">
        <f t="shared" si="67"/>
        <v>0.10444732365726485</v>
      </c>
      <c r="AV202" s="184">
        <f t="shared" si="68"/>
        <v>1</v>
      </c>
      <c r="AW202" s="185">
        <f t="shared" si="69"/>
        <v>0.10347003154574133</v>
      </c>
      <c r="AX202" s="185">
        <f t="shared" si="76"/>
        <v>1.0000000000000002</v>
      </c>
      <c r="AY202" s="381">
        <v>239188</v>
      </c>
      <c r="AZ202" s="91">
        <v>1664</v>
      </c>
      <c r="BA202" s="411">
        <f t="shared" si="77"/>
        <v>119</v>
      </c>
      <c r="BB202" s="411">
        <f t="shared" si="78"/>
        <v>18291</v>
      </c>
      <c r="BC202" s="184">
        <f t="shared" si="70"/>
        <v>7.6471227653561222E-2</v>
      </c>
      <c r="BD202" s="184">
        <f t="shared" si="71"/>
        <v>1</v>
      </c>
      <c r="BE202" s="185">
        <f t="shared" si="72"/>
        <v>7.1514423076923073E-2</v>
      </c>
      <c r="BF202" s="185">
        <f t="shared" si="79"/>
        <v>1</v>
      </c>
      <c r="BG202" s="184">
        <v>0.1223097521138654</v>
      </c>
      <c r="BH202" s="184">
        <v>0.99999999999999989</v>
      </c>
      <c r="BI202" s="185">
        <v>0.11336032388663968</v>
      </c>
      <c r="BJ202" s="185">
        <v>1.0040485829959518</v>
      </c>
      <c r="BK202" s="184">
        <v>0.11739000008107604</v>
      </c>
      <c r="BL202" s="184">
        <v>1.0000000000000002</v>
      </c>
      <c r="BM202" s="185">
        <v>0.10703363914373089</v>
      </c>
      <c r="BN202" s="185">
        <v>1</v>
      </c>
      <c r="BO202" s="184">
        <v>0.23582012536574781</v>
      </c>
      <c r="BP202" s="184">
        <f t="shared" si="54"/>
        <v>0.99999999999999989</v>
      </c>
      <c r="BQ202" s="185">
        <v>0.23809523809523808</v>
      </c>
      <c r="BR202" s="185">
        <f>SUM(BQ$180:BQ202)</f>
        <v>1</v>
      </c>
      <c r="BS202" s="186">
        <f>Vergleich!C24</f>
        <v>62345</v>
      </c>
      <c r="BT202" s="184">
        <v>0.12403560830860538</v>
      </c>
      <c r="BU202" s="184">
        <f t="shared" si="55"/>
        <v>1</v>
      </c>
      <c r="BV202" s="185">
        <v>0.13544668587896258</v>
      </c>
      <c r="BW202" s="185">
        <f>SUM(BV$180:BV202)</f>
        <v>1</v>
      </c>
      <c r="BX202" s="186">
        <f>DT203</f>
        <v>0</v>
      </c>
      <c r="BY202" s="184"/>
      <c r="BZ202" s="274"/>
      <c r="CA202" s="274"/>
      <c r="CB202" s="274"/>
      <c r="CC202" s="274"/>
      <c r="CD202" s="274"/>
      <c r="CE202" s="274"/>
      <c r="CF202" s="274"/>
      <c r="CG202" s="274"/>
      <c r="CH202" s="274"/>
      <c r="CI202" s="274"/>
      <c r="CJ202" s="274"/>
      <c r="CK202" s="274"/>
      <c r="CL202" s="274"/>
      <c r="CM202" s="274"/>
      <c r="CN202" s="274"/>
      <c r="CO202" s="274"/>
      <c r="CP202" s="274"/>
      <c r="CQ202" s="274"/>
      <c r="CR202" s="274"/>
    </row>
    <row r="203" spans="1:96" s="187" customFormat="1" x14ac:dyDescent="0.3">
      <c r="A203" s="274"/>
      <c r="B203" s="314"/>
      <c r="C203" s="274"/>
      <c r="D203" s="274"/>
      <c r="E203" s="306"/>
      <c r="F203" s="306"/>
      <c r="G203" s="306"/>
      <c r="H203" s="306"/>
      <c r="I203" s="306"/>
      <c r="J203" s="306"/>
      <c r="K203" s="306"/>
      <c r="L203" s="306"/>
      <c r="M203" s="306"/>
      <c r="N203" s="299"/>
      <c r="O203" s="305"/>
      <c r="P203" s="301"/>
      <c r="Q203" s="229"/>
      <c r="R203" s="188"/>
      <c r="S203" s="188"/>
      <c r="T203" s="188"/>
      <c r="U203" s="188"/>
      <c r="V203" s="188"/>
      <c r="W203" s="188"/>
      <c r="X203" s="173"/>
      <c r="Y203" s="188"/>
      <c r="Z203" s="188"/>
      <c r="AA203" s="189"/>
      <c r="AB203" s="253">
        <f>SUM(AB180:AB202)</f>
        <v>1585</v>
      </c>
      <c r="AC203" s="190">
        <f>SUM(AC180:AC202)</f>
        <v>369421.03880597017</v>
      </c>
      <c r="AD203" s="189"/>
      <c r="AE203" s="191">
        <f t="shared" si="61"/>
        <v>233.07321060313575</v>
      </c>
      <c r="AF203" s="191"/>
      <c r="AG203" s="189" t="s">
        <v>128</v>
      </c>
      <c r="AH203" s="118"/>
      <c r="AI203" s="192" t="s">
        <v>128</v>
      </c>
      <c r="AJ203" s="170"/>
      <c r="AK203" s="189" t="s">
        <v>129</v>
      </c>
      <c r="AL203" s="72"/>
      <c r="AM203" s="192" t="s">
        <v>129</v>
      </c>
      <c r="AN203" s="170"/>
      <c r="AO203" s="189"/>
      <c r="AP203" s="188"/>
      <c r="AQ203" s="188"/>
      <c r="AR203" s="188"/>
      <c r="AS203" s="188"/>
      <c r="AT203" s="188"/>
      <c r="AU203" s="193">
        <f>U203/$Z$202</f>
        <v>0</v>
      </c>
      <c r="AV203" s="193"/>
      <c r="AW203" s="194">
        <f t="shared" ref="AW203" si="96">T203/$AB$203</f>
        <v>0</v>
      </c>
      <c r="AX203" s="195"/>
      <c r="AY203" s="188"/>
      <c r="AZ203" s="188"/>
      <c r="BA203" s="188"/>
      <c r="BB203" s="188"/>
      <c r="BC203" s="193">
        <f>AC203/$Z$202</f>
        <v>1</v>
      </c>
      <c r="BD203" s="193"/>
      <c r="BE203" s="194">
        <f t="shared" ref="BE203" si="97">AB203/$AB$203</f>
        <v>1</v>
      </c>
      <c r="BF203" s="195"/>
      <c r="BG203" s="193">
        <f>SUM(BG180:BG202)</f>
        <v>1.0000000000000002</v>
      </c>
      <c r="BH203" s="193"/>
      <c r="BI203" s="194">
        <f>SUM(BI180:BI202)</f>
        <v>1.0040485829959518</v>
      </c>
      <c r="BJ203" s="195"/>
      <c r="BK203" s="193">
        <v>1.0000000000000002</v>
      </c>
      <c r="BL203" s="193"/>
      <c r="BM203" s="194">
        <v>1</v>
      </c>
      <c r="BN203" s="195"/>
      <c r="BO203" s="193">
        <f t="shared" ref="BO203:BQ203" si="98">SUM(BO180:BO202)</f>
        <v>0.99999999999999989</v>
      </c>
      <c r="BP203" s="193"/>
      <c r="BQ203" s="194">
        <f t="shared" si="98"/>
        <v>1</v>
      </c>
      <c r="BR203" s="195"/>
      <c r="BS203" s="196"/>
      <c r="BT203" s="193">
        <f t="shared" ref="BT203:BV203" si="99">SUM(BT180:BT202)</f>
        <v>1</v>
      </c>
      <c r="BU203" s="193"/>
      <c r="BV203" s="194">
        <f t="shared" si="99"/>
        <v>1</v>
      </c>
      <c r="BW203" s="195"/>
      <c r="BX203" s="196">
        <v>285417</v>
      </c>
      <c r="BY203" s="193">
        <f>BX203/$BX$203</f>
        <v>1</v>
      </c>
      <c r="BZ203" s="274"/>
      <c r="CA203" s="274"/>
      <c r="CB203" s="274"/>
      <c r="CC203" s="274"/>
      <c r="CD203" s="274"/>
      <c r="CE203" s="274"/>
      <c r="CF203" s="274"/>
      <c r="CG203" s="274"/>
      <c r="CH203" s="274"/>
      <c r="CI203" s="274"/>
      <c r="CJ203" s="274"/>
      <c r="CK203" s="274"/>
      <c r="CL203" s="274"/>
      <c r="CM203" s="274"/>
      <c r="CN203" s="274"/>
      <c r="CO203" s="274"/>
      <c r="CP203" s="274"/>
      <c r="CQ203" s="274"/>
      <c r="CR203" s="274"/>
    </row>
    <row r="204" spans="1:96" s="2" customFormat="1" x14ac:dyDescent="0.3">
      <c r="A204" s="255"/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300"/>
      <c r="P204" s="301"/>
      <c r="Q204" s="223"/>
      <c r="R204" s="47"/>
      <c r="S204" s="47"/>
      <c r="T204" s="47"/>
      <c r="U204" s="47"/>
      <c r="V204" s="47"/>
      <c r="W204" s="47"/>
      <c r="X204" s="47"/>
      <c r="Y204" s="190"/>
      <c r="Z204" s="215" t="s">
        <v>126</v>
      </c>
      <c r="AA204" s="47"/>
      <c r="AB204" s="47"/>
      <c r="AC204" s="47"/>
      <c r="AD204" s="47"/>
      <c r="AE204" s="47"/>
      <c r="AF204" s="47"/>
      <c r="AG204" s="182">
        <f>AG182*Vergleich!BA8</f>
        <v>221145.2789658439</v>
      </c>
      <c r="AH204" s="216"/>
      <c r="AI204" s="81">
        <f>ROUND(AA182*Vergleich!BB8,)</f>
        <v>908</v>
      </c>
      <c r="AJ204" s="197"/>
      <c r="AK204" s="182">
        <f>AK182*Vergleich!BA9</f>
        <v>380737.45492555579</v>
      </c>
      <c r="AL204" s="157"/>
      <c r="AM204" s="81">
        <f>ROUND(AA182*Vergleich!BB9,)</f>
        <v>1621</v>
      </c>
      <c r="AN204" s="197"/>
      <c r="AO204" s="47"/>
      <c r="AP204" s="47"/>
      <c r="AQ204" s="439" t="s">
        <v>191</v>
      </c>
      <c r="AR204" s="439"/>
      <c r="AS204" s="439"/>
      <c r="AT204" s="439"/>
      <c r="AU204" s="439"/>
      <c r="AV204" s="439"/>
      <c r="AW204" s="439"/>
      <c r="AX204" s="439"/>
      <c r="AY204" s="439" t="s">
        <v>191</v>
      </c>
      <c r="AZ204" s="439"/>
      <c r="BA204" s="439"/>
      <c r="BB204" s="439"/>
      <c r="BC204" s="439"/>
      <c r="BD204" s="439"/>
      <c r="BE204" s="439"/>
      <c r="BF204" s="439"/>
      <c r="BG204" s="465" t="s">
        <v>122</v>
      </c>
      <c r="BH204" s="466"/>
      <c r="BI204" s="466"/>
      <c r="BJ204" s="467"/>
      <c r="BK204" s="465" t="s">
        <v>52</v>
      </c>
      <c r="BL204" s="466"/>
      <c r="BM204" s="466"/>
      <c r="BN204" s="467"/>
      <c r="BO204" s="465" t="s">
        <v>54</v>
      </c>
      <c r="BP204" s="466"/>
      <c r="BQ204" s="466"/>
      <c r="BR204" s="466"/>
      <c r="BS204" s="439" t="s">
        <v>53</v>
      </c>
      <c r="BT204" s="439"/>
      <c r="BU204" s="439"/>
      <c r="BV204" s="439"/>
      <c r="BW204" s="439"/>
      <c r="BX204" s="439" t="s">
        <v>55</v>
      </c>
      <c r="BY204" s="439"/>
      <c r="BZ204" s="255"/>
      <c r="CA204" s="255"/>
      <c r="CB204" s="255"/>
      <c r="CC204" s="255"/>
      <c r="CD204" s="255"/>
      <c r="CE204" s="255"/>
      <c r="CF204" s="255"/>
      <c r="CG204" s="255"/>
      <c r="CH204" s="255"/>
      <c r="CI204" s="255"/>
      <c r="CJ204" s="255"/>
      <c r="CK204" s="255"/>
      <c r="CL204" s="255"/>
      <c r="CM204" s="255"/>
      <c r="CN204" s="255"/>
      <c r="CO204" s="255"/>
      <c r="CP204" s="255"/>
      <c r="CQ204" s="255"/>
      <c r="CR204" s="255"/>
    </row>
    <row r="205" spans="1:96" s="2" customFormat="1" ht="18" x14ac:dyDescent="0.25">
      <c r="A205" s="255"/>
      <c r="B205" s="255"/>
      <c r="C205" s="255"/>
      <c r="D205" s="255"/>
      <c r="E205" s="255"/>
      <c r="F205" s="255"/>
      <c r="G205" s="255"/>
      <c r="H205" s="255"/>
      <c r="I205" s="255"/>
      <c r="J205" s="255"/>
      <c r="K205" s="255"/>
      <c r="L205" s="255"/>
      <c r="M205" s="298"/>
      <c r="N205" s="255"/>
      <c r="O205" s="300"/>
      <c r="P205" s="255"/>
      <c r="Q205" s="223"/>
      <c r="R205" s="47"/>
      <c r="S205" s="47"/>
      <c r="T205" s="47"/>
      <c r="U205" s="47"/>
      <c r="V205" s="47"/>
      <c r="W205" s="47"/>
      <c r="X205" s="47"/>
      <c r="Y205" s="47"/>
      <c r="Z205" s="47" t="s">
        <v>127</v>
      </c>
      <c r="AA205" s="47"/>
      <c r="AB205" s="47"/>
      <c r="AC205" s="47"/>
      <c r="AD205" s="47"/>
      <c r="AE205" s="47"/>
      <c r="AF205" s="47"/>
      <c r="AG205" s="182">
        <f>AG183*Vergleich!BA13</f>
        <v>202104.34518389867</v>
      </c>
      <c r="AH205" s="216"/>
      <c r="AI205" s="81">
        <f>ROUND(AA183*Vergleich!BB13,)</f>
        <v>852</v>
      </c>
      <c r="AJ205" s="197"/>
      <c r="AK205" s="182">
        <f>AK183*Vergleich!BA14</f>
        <v>358242.01622524456</v>
      </c>
      <c r="AL205" s="157"/>
      <c r="AM205" s="81">
        <f>ROUND(AA183*Vergleich!BB14,)</f>
        <v>1710</v>
      </c>
      <c r="AN205" s="197"/>
      <c r="AO205" s="47"/>
      <c r="AP205" s="47"/>
      <c r="AQ205" s="47"/>
      <c r="AR205" s="47"/>
      <c r="AS205" s="47"/>
      <c r="AT205" s="47"/>
      <c r="AU205" s="78" t="s">
        <v>156</v>
      </c>
      <c r="AV205" s="198" t="s">
        <v>264</v>
      </c>
      <c r="AW205" s="78" t="s">
        <v>265</v>
      </c>
      <c r="AX205" s="78" t="s">
        <v>266</v>
      </c>
      <c r="AY205" s="47"/>
      <c r="AZ205" s="47"/>
      <c r="BA205" s="47"/>
      <c r="BB205" s="47"/>
      <c r="BC205" s="78" t="s">
        <v>156</v>
      </c>
      <c r="BD205" s="198" t="s">
        <v>264</v>
      </c>
      <c r="BE205" s="78" t="s">
        <v>265</v>
      </c>
      <c r="BF205" s="78" t="s">
        <v>266</v>
      </c>
      <c r="BG205" s="78" t="s">
        <v>137</v>
      </c>
      <c r="BH205" s="198" t="s">
        <v>141</v>
      </c>
      <c r="BI205" s="78" t="s">
        <v>138</v>
      </c>
      <c r="BJ205" s="78" t="s">
        <v>142</v>
      </c>
      <c r="BK205" s="78" t="s">
        <v>84</v>
      </c>
      <c r="BL205" s="78" t="s">
        <v>143</v>
      </c>
      <c r="BM205" s="78" t="s">
        <v>134</v>
      </c>
      <c r="BN205" s="78" t="s">
        <v>144</v>
      </c>
      <c r="BO205" s="78" t="s">
        <v>135</v>
      </c>
      <c r="BP205" s="199" t="s">
        <v>145</v>
      </c>
      <c r="BQ205" s="78" t="s">
        <v>136</v>
      </c>
      <c r="BR205" s="199" t="s">
        <v>146</v>
      </c>
      <c r="BS205" s="47"/>
      <c r="BT205" s="198" t="s">
        <v>139</v>
      </c>
      <c r="BU205" s="198" t="s">
        <v>147</v>
      </c>
      <c r="BV205" s="198" t="s">
        <v>140</v>
      </c>
      <c r="BW205" s="198" t="s">
        <v>148</v>
      </c>
      <c r="BX205" s="49"/>
      <c r="BY205" s="47"/>
      <c r="BZ205" s="255"/>
      <c r="CA205" s="255"/>
      <c r="CB205" s="255"/>
      <c r="CC205" s="255"/>
      <c r="CD205" s="255"/>
      <c r="CE205" s="255"/>
      <c r="CF205" s="255"/>
      <c r="CG205" s="255"/>
      <c r="CH205" s="255"/>
      <c r="CI205" s="255"/>
      <c r="CJ205" s="255"/>
      <c r="CK205" s="255"/>
      <c r="CL205" s="255"/>
      <c r="CM205" s="255"/>
      <c r="CN205" s="255"/>
      <c r="CO205" s="255"/>
      <c r="CP205" s="255"/>
      <c r="CQ205" s="255"/>
      <c r="CR205" s="255"/>
    </row>
    <row r="206" spans="1:96" s="2" customFormat="1" x14ac:dyDescent="0.3">
      <c r="A206" s="255"/>
      <c r="B206" s="255"/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98"/>
      <c r="N206" s="255"/>
      <c r="O206" s="300"/>
      <c r="P206" s="255"/>
      <c r="Q206" s="223"/>
      <c r="R206" s="47"/>
      <c r="S206" s="47"/>
      <c r="T206" s="47"/>
      <c r="U206" s="47"/>
      <c r="V206" s="47"/>
      <c r="W206" s="47"/>
      <c r="X206" s="47"/>
      <c r="Y206" s="47"/>
      <c r="Z206" s="47" t="s">
        <v>149</v>
      </c>
      <c r="AA206" s="47"/>
      <c r="AB206" s="47"/>
      <c r="AC206" s="47"/>
      <c r="AD206" s="48"/>
      <c r="AE206" s="47"/>
      <c r="AF206" s="47"/>
      <c r="AG206" s="182">
        <f>AG184*Vergleich!BA18</f>
        <v>224795.99601694429</v>
      </c>
      <c r="AH206" s="216"/>
      <c r="AI206" s="81">
        <f>ROUND(AA184*Vergleich!BB18,)</f>
        <v>937</v>
      </c>
      <c r="AJ206" s="197"/>
      <c r="AK206" s="182">
        <f>AK184*Vergleich!BA19</f>
        <v>406180.81447323749</v>
      </c>
      <c r="AL206" s="157"/>
      <c r="AM206" s="81">
        <f>ROUND(AA184*Vergleich!BB19,)</f>
        <v>1851</v>
      </c>
      <c r="AN206" s="67"/>
      <c r="AO206" s="47"/>
      <c r="AP206" s="201">
        <v>4</v>
      </c>
      <c r="AQ206" s="201"/>
      <c r="AR206" s="201"/>
      <c r="AS206" s="201"/>
      <c r="AT206" s="201"/>
      <c r="AU206" s="92">
        <f>AU185/SUM(AU$185:AU$202)</f>
        <v>3.4163928180764143E-2</v>
      </c>
      <c r="AV206" s="209">
        <f>AU206</f>
        <v>3.4163928180764143E-2</v>
      </c>
      <c r="AW206" s="92">
        <f>AW185/SUM(AW$185:AW$202)</f>
        <v>3.6199095022624438E-2</v>
      </c>
      <c r="AX206" s="209">
        <f>AW206</f>
        <v>3.6199095022624438E-2</v>
      </c>
      <c r="AY206" s="201"/>
      <c r="AZ206" s="201"/>
      <c r="BA206" s="201"/>
      <c r="BB206" s="201"/>
      <c r="BC206" s="92">
        <f>BC185/SUM(BC$185:BC$202)</f>
        <v>4.3584842588862506E-2</v>
      </c>
      <c r="BD206" s="209">
        <f>BC206</f>
        <v>4.3584842588862506E-2</v>
      </c>
      <c r="BE206" s="92">
        <f>BE185/SUM(BE$185:BE$202)</f>
        <v>4.8029556650246309E-2</v>
      </c>
      <c r="BF206" s="209">
        <f>BE206</f>
        <v>4.8029556650246309E-2</v>
      </c>
      <c r="BG206" s="202"/>
      <c r="BH206" s="203"/>
      <c r="BI206" s="202"/>
      <c r="BJ206" s="202"/>
      <c r="BK206" s="202"/>
      <c r="BL206" s="202"/>
      <c r="BM206" s="202"/>
      <c r="BN206" s="202"/>
      <c r="BO206" s="92">
        <f>BO185/SUM(BO$185:BO$202)</f>
        <v>5.1971879286694098E-2</v>
      </c>
      <c r="BP206" s="208">
        <f>BO206</f>
        <v>5.1971879286694098E-2</v>
      </c>
      <c r="BQ206" s="92">
        <f>BQ185/SUM(BQ$185:BQ$202)</f>
        <v>4.3233082706766915E-2</v>
      </c>
      <c r="BR206" s="208">
        <f>BQ206</f>
        <v>4.3233082706766915E-2</v>
      </c>
      <c r="BS206" s="201"/>
      <c r="BT206" s="203"/>
      <c r="BU206" s="203"/>
      <c r="BV206" s="203"/>
      <c r="BW206" s="203"/>
      <c r="BX206" s="204"/>
      <c r="BY206" s="204"/>
      <c r="BZ206" s="255"/>
      <c r="CA206" s="255"/>
      <c r="CB206" s="255"/>
      <c r="CC206" s="255"/>
      <c r="CD206" s="255"/>
      <c r="CE206" s="255"/>
      <c r="CF206" s="255"/>
      <c r="CG206" s="255"/>
      <c r="CH206" s="255"/>
      <c r="CI206" s="255"/>
      <c r="CJ206" s="255"/>
      <c r="CK206" s="255"/>
      <c r="CL206" s="255"/>
      <c r="CM206" s="255"/>
      <c r="CN206" s="255"/>
      <c r="CO206" s="255"/>
      <c r="CP206" s="255"/>
      <c r="CQ206" s="255"/>
      <c r="CR206" s="255"/>
    </row>
    <row r="207" spans="1:96" s="2" customFormat="1" x14ac:dyDescent="0.3">
      <c r="A207" s="255"/>
      <c r="B207" s="255"/>
      <c r="C207" s="255"/>
      <c r="D207" s="255"/>
      <c r="E207" s="255"/>
      <c r="F207" s="255"/>
      <c r="G207" s="255"/>
      <c r="H207" s="255"/>
      <c r="I207" s="255"/>
      <c r="J207" s="255"/>
      <c r="K207" s="255"/>
      <c r="L207" s="255"/>
      <c r="M207" s="298"/>
      <c r="N207" s="255"/>
      <c r="O207" s="300"/>
      <c r="P207" s="255"/>
      <c r="Q207" s="223"/>
      <c r="R207" s="47"/>
      <c r="S207" s="47"/>
      <c r="T207" s="47"/>
      <c r="U207" s="47"/>
      <c r="V207" s="47"/>
      <c r="W207" s="47"/>
      <c r="X207" s="47"/>
      <c r="Y207" s="47"/>
      <c r="Z207" s="47" t="s">
        <v>150</v>
      </c>
      <c r="AA207" s="205">
        <f>ROUND(AVERAGE(AI209,AM209),)</f>
        <v>1352</v>
      </c>
      <c r="AB207" s="47"/>
      <c r="AC207" s="47"/>
      <c r="AD207" s="48"/>
      <c r="AE207" s="47"/>
      <c r="AF207" s="47"/>
      <c r="AG207" s="157">
        <f>AG185*Vergleich!BA23</f>
        <v>224309.20449139524</v>
      </c>
      <c r="AH207" s="216"/>
      <c r="AI207" s="382">
        <f>ROUND(AA185*Vergleich!BB23,)</f>
        <v>971</v>
      </c>
      <c r="AJ207" s="197"/>
      <c r="AK207" s="157">
        <f>AK185*Vergleich!BA24</f>
        <v>422099.73143514799</v>
      </c>
      <c r="AL207" s="157"/>
      <c r="AM207" s="382">
        <f>ROUND(AA185*Vergleich!BB24,)</f>
        <v>1899</v>
      </c>
      <c r="AN207" s="67"/>
      <c r="AO207" s="47"/>
      <c r="AP207" s="201">
        <v>5</v>
      </c>
      <c r="AQ207" s="201"/>
      <c r="AR207" s="201"/>
      <c r="AS207" s="201"/>
      <c r="AT207" s="201"/>
      <c r="AU207" s="92">
        <f t="shared" ref="AU207:AU223" si="100">AU186/SUM(AU$185:AU$202)</f>
        <v>3.2122823227867102E-2</v>
      </c>
      <c r="AV207" s="209">
        <f t="shared" ref="AV207:AV223" si="101">AV206+AU207</f>
        <v>6.6286751408631245E-2</v>
      </c>
      <c r="AW207" s="92">
        <f t="shared" ref="AW207:AW223" si="102">AW186/SUM(AW$185:AW$202)</f>
        <v>3.9819004524886889E-2</v>
      </c>
      <c r="AX207" s="209">
        <f t="shared" ref="AX207:AX223" si="103">AX206+AW207</f>
        <v>7.601809954751132E-2</v>
      </c>
      <c r="AY207" s="201"/>
      <c r="AZ207" s="201"/>
      <c r="BA207" s="201"/>
      <c r="BB207" s="201"/>
      <c r="BC207" s="92">
        <f t="shared" ref="BC207:BC223" si="104">BC186/SUM(BC$185:BC$202)</f>
        <v>3.1456513726868321E-2</v>
      </c>
      <c r="BD207" s="209">
        <f t="shared" ref="BD207:BD208" si="105">BD206+BC207</f>
        <v>7.5041356315730834E-2</v>
      </c>
      <c r="BE207" s="92">
        <f t="shared" ref="BE207:BE223" si="106">BE186/SUM(BE$185:BE$202)</f>
        <v>3.3251231527093604E-2</v>
      </c>
      <c r="BF207" s="209">
        <f t="shared" ref="BF207:BF208" si="107">BF206+BE207</f>
        <v>8.1280788177339913E-2</v>
      </c>
      <c r="BG207" s="202"/>
      <c r="BH207" s="203"/>
      <c r="BI207" s="202"/>
      <c r="BJ207" s="202"/>
      <c r="BK207" s="202"/>
      <c r="BL207" s="202"/>
      <c r="BM207" s="202"/>
      <c r="BN207" s="202"/>
      <c r="BO207" s="92">
        <f t="shared" ref="BO207:BO223" si="108">BO186/SUM(BO$185:BO$202)</f>
        <v>2.7023319615912211E-2</v>
      </c>
      <c r="BP207" s="208">
        <f t="shared" ref="BP207:BP208" si="109">BP206+BO207</f>
        <v>7.8995198902606312E-2</v>
      </c>
      <c r="BQ207" s="92">
        <f t="shared" ref="BQ207:BQ223" si="110">BQ186/SUM(BQ$185:BQ$202)</f>
        <v>3.1954887218045111E-2</v>
      </c>
      <c r="BR207" s="208">
        <f t="shared" ref="BR207:BR208" si="111">BR206+BQ207</f>
        <v>7.5187969924812026E-2</v>
      </c>
      <c r="BS207" s="201"/>
      <c r="BT207" s="203"/>
      <c r="BU207" s="203"/>
      <c r="BV207" s="203"/>
      <c r="BW207" s="203"/>
      <c r="BX207" s="204"/>
      <c r="BY207" s="204"/>
      <c r="BZ207" s="255"/>
      <c r="CA207" s="255"/>
      <c r="CB207" s="255"/>
      <c r="CC207" s="255"/>
      <c r="CD207" s="255"/>
      <c r="CE207" s="255"/>
      <c r="CF207" s="255"/>
      <c r="CG207" s="255"/>
      <c r="CH207" s="255"/>
      <c r="CI207" s="255"/>
      <c r="CJ207" s="255"/>
      <c r="CK207" s="255"/>
      <c r="CL207" s="255"/>
      <c r="CM207" s="255"/>
      <c r="CN207" s="255"/>
      <c r="CO207" s="255"/>
      <c r="CP207" s="255"/>
      <c r="CQ207" s="255"/>
      <c r="CR207" s="255"/>
    </row>
    <row r="208" spans="1:96" s="2" customFormat="1" ht="18" x14ac:dyDescent="0.25">
      <c r="A208" s="255"/>
      <c r="B208" s="255"/>
      <c r="C208" s="255"/>
      <c r="D208" s="255"/>
      <c r="E208" s="255"/>
      <c r="F208" s="255"/>
      <c r="G208" s="255"/>
      <c r="H208" s="255"/>
      <c r="I208" s="255"/>
      <c r="J208" s="255"/>
      <c r="K208" s="255"/>
      <c r="L208" s="255"/>
      <c r="M208" s="298"/>
      <c r="N208" s="255"/>
      <c r="O208" s="300"/>
      <c r="P208" s="255"/>
      <c r="Q208" s="223"/>
      <c r="R208" s="47"/>
      <c r="S208" s="47"/>
      <c r="T208" s="47"/>
      <c r="U208" s="47"/>
      <c r="V208" s="47"/>
      <c r="W208" s="47"/>
      <c r="X208" s="47"/>
      <c r="Y208" s="47"/>
      <c r="Z208" s="47"/>
      <c r="AA208" s="42"/>
      <c r="AB208" s="42"/>
      <c r="AC208" s="42"/>
      <c r="AD208" s="42"/>
      <c r="AE208" s="47"/>
      <c r="AF208" s="47"/>
      <c r="AG208" s="157">
        <f>AG186*Vergleich!BA28</f>
        <v>222319.83410383092</v>
      </c>
      <c r="AH208" s="216"/>
      <c r="AI208" s="382">
        <f>ROUND(AA186*Vergleich!BB28,)</f>
        <v>1022</v>
      </c>
      <c r="AJ208" s="197"/>
      <c r="AK208" s="157">
        <f>AK186*Vergleich!BA29</f>
        <v>390223.33190403227</v>
      </c>
      <c r="AL208" s="157"/>
      <c r="AM208" s="382">
        <f>ROUND(AA186*Vergleich!BB29,)</f>
        <v>1763</v>
      </c>
      <c r="AN208" s="67"/>
      <c r="AO208" s="42"/>
      <c r="AP208" s="201">
        <v>6</v>
      </c>
      <c r="AQ208" s="201"/>
      <c r="AR208" s="201"/>
      <c r="AS208" s="201"/>
      <c r="AT208" s="201"/>
      <c r="AU208" s="92">
        <f t="shared" si="100"/>
        <v>7.4545557576422741E-2</v>
      </c>
      <c r="AV208" s="209">
        <f t="shared" si="101"/>
        <v>0.140832308985054</v>
      </c>
      <c r="AW208" s="92">
        <f t="shared" si="102"/>
        <v>7.9638009049773778E-2</v>
      </c>
      <c r="AX208" s="209">
        <f t="shared" si="103"/>
        <v>0.1556561085972851</v>
      </c>
      <c r="AY208" s="201"/>
      <c r="AZ208" s="201"/>
      <c r="BA208" s="201"/>
      <c r="BB208" s="201"/>
      <c r="BC208" s="92">
        <f t="shared" si="104"/>
        <v>3.7019259614807704E-2</v>
      </c>
      <c r="BD208" s="209">
        <f t="shared" si="105"/>
        <v>0.11206061593053854</v>
      </c>
      <c r="BE208" s="92">
        <f t="shared" si="106"/>
        <v>4.3103448275862079E-2</v>
      </c>
      <c r="BF208" s="209">
        <f t="shared" si="107"/>
        <v>0.12438423645320199</v>
      </c>
      <c r="BG208" s="202"/>
      <c r="BH208" s="203"/>
      <c r="BI208" s="202"/>
      <c r="BJ208" s="202"/>
      <c r="BK208" s="202"/>
      <c r="BL208" s="202"/>
      <c r="BM208" s="202"/>
      <c r="BN208" s="202"/>
      <c r="BO208" s="92">
        <f t="shared" si="108"/>
        <v>1.7429698216735255E-2</v>
      </c>
      <c r="BP208" s="208">
        <f t="shared" si="109"/>
        <v>9.6424897119341574E-2</v>
      </c>
      <c r="BQ208" s="92">
        <f t="shared" si="110"/>
        <v>1.8796992481203006E-2</v>
      </c>
      <c r="BR208" s="208">
        <f t="shared" si="111"/>
        <v>9.3984962406015032E-2</v>
      </c>
      <c r="BS208" s="201"/>
      <c r="BT208" s="203"/>
      <c r="BU208" s="203"/>
      <c r="BV208" s="203"/>
      <c r="BW208" s="203"/>
      <c r="BX208" s="204"/>
      <c r="BY208" s="204"/>
      <c r="BZ208" s="255"/>
      <c r="CA208" s="255"/>
      <c r="CB208" s="255"/>
      <c r="CC208" s="255"/>
      <c r="CD208" s="255"/>
      <c r="CE208" s="255"/>
      <c r="CF208" s="255"/>
      <c r="CG208" s="255"/>
      <c r="CH208" s="255"/>
      <c r="CI208" s="255"/>
      <c r="CJ208" s="255"/>
      <c r="CK208" s="255"/>
      <c r="CL208" s="255"/>
      <c r="CM208" s="255"/>
      <c r="CN208" s="255"/>
      <c r="CO208" s="255"/>
      <c r="CP208" s="255"/>
      <c r="CQ208" s="255"/>
      <c r="CR208" s="255"/>
    </row>
    <row r="209" spans="1:96" s="2" customFormat="1" ht="18" x14ac:dyDescent="0.25">
      <c r="A209" s="255"/>
      <c r="B209" s="255"/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98"/>
      <c r="N209" s="255"/>
      <c r="O209" s="300"/>
      <c r="P209" s="255"/>
      <c r="Q209" s="223"/>
      <c r="R209" s="47"/>
      <c r="S209" s="47"/>
      <c r="T209" s="47"/>
      <c r="U209" s="47"/>
      <c r="V209" s="47"/>
      <c r="W209" s="47"/>
      <c r="X209" s="47"/>
      <c r="Y209" s="47"/>
      <c r="Z209" s="47"/>
      <c r="AA209" s="42"/>
      <c r="AB209" s="42"/>
      <c r="AC209" s="42"/>
      <c r="AD209" s="42"/>
      <c r="AE209" s="47"/>
      <c r="AF209" s="47"/>
      <c r="AG209" s="190">
        <f>MIN(AG204:AG206)</f>
        <v>202104.34518389867</v>
      </c>
      <c r="AH209" s="67"/>
      <c r="AI209" s="206">
        <f>MIN(AI204:AI206)</f>
        <v>852</v>
      </c>
      <c r="AJ209" s="67"/>
      <c r="AK209" s="190">
        <f>MAX(AK204:AK206)</f>
        <v>406180.81447323749</v>
      </c>
      <c r="AL209" s="67"/>
      <c r="AM209" s="206">
        <f>MAX(AM204:AM206)</f>
        <v>1851</v>
      </c>
      <c r="AN209" s="67"/>
      <c r="AO209" s="42"/>
      <c r="AP209" s="47">
        <v>7</v>
      </c>
      <c r="AQ209" s="47"/>
      <c r="AR209" s="47"/>
      <c r="AS209" s="47"/>
      <c r="AT209" s="47"/>
      <c r="AU209" s="92">
        <f t="shared" si="100"/>
        <v>5.3226039368995268E-2</v>
      </c>
      <c r="AV209" s="209">
        <f t="shared" si="101"/>
        <v>0.19405834835404928</v>
      </c>
      <c r="AW209" s="92">
        <f t="shared" si="102"/>
        <v>5.1583710407239823E-2</v>
      </c>
      <c r="AX209" s="209">
        <f t="shared" si="103"/>
        <v>0.20723981900452493</v>
      </c>
      <c r="AY209" s="47"/>
      <c r="AZ209" s="47"/>
      <c r="BA209" s="47"/>
      <c r="BB209" s="47"/>
      <c r="BC209" s="92">
        <f t="shared" si="104"/>
        <v>0.1003179936401272</v>
      </c>
      <c r="BD209" s="209">
        <f t="shared" ref="BD209:BD223" si="112">BD208+BC209</f>
        <v>0.21237860957066573</v>
      </c>
      <c r="BE209" s="92">
        <f t="shared" si="106"/>
        <v>0.1120689655172414</v>
      </c>
      <c r="BF209" s="209">
        <f t="shared" ref="BF209:BF223" si="113">BF208+BE209</f>
        <v>0.23645320197044339</v>
      </c>
      <c r="BG209" s="92">
        <f>BG188/SUM(BG$188:BG$202)</f>
        <v>5.2208682406702213E-2</v>
      </c>
      <c r="BH209" s="207">
        <f t="shared" ref="BH209:BR223" si="114">BH208+BG209</f>
        <v>5.2208682406702213E-2</v>
      </c>
      <c r="BI209" s="92">
        <f>BI188/SUM(BI$188:BI$202)</f>
        <v>5.7971014492753631E-2</v>
      </c>
      <c r="BJ209" s="92">
        <f t="shared" si="114"/>
        <v>5.7971014492753631E-2</v>
      </c>
      <c r="BK209" s="92">
        <f>BK188/SUM(BK$188:BK$202)</f>
        <v>3.0958683392795495E-2</v>
      </c>
      <c r="BL209" s="92">
        <f t="shared" si="114"/>
        <v>3.0958683392795495E-2</v>
      </c>
      <c r="BM209" s="92">
        <f>BM188/SUM(BM$188:BM$202)</f>
        <v>3.8888888888888883E-2</v>
      </c>
      <c r="BN209" s="92">
        <f t="shared" si="114"/>
        <v>3.8888888888888883E-2</v>
      </c>
      <c r="BO209" s="92">
        <f t="shared" si="108"/>
        <v>3.8365912208504799E-2</v>
      </c>
      <c r="BP209" s="208">
        <f t="shared" si="114"/>
        <v>0.13479080932784637</v>
      </c>
      <c r="BQ209" s="92">
        <f t="shared" si="110"/>
        <v>3.9473684210526314E-2</v>
      </c>
      <c r="BR209" s="208">
        <f t="shared" si="114"/>
        <v>0.13345864661654133</v>
      </c>
      <c r="BS209" s="47"/>
      <c r="BT209" s="207">
        <f>BT188/SUM(BT$188:BT$202)</f>
        <v>4.0453562628852975E-2</v>
      </c>
      <c r="BU209" s="207">
        <f t="shared" ref="BU209:BU223" si="115">BU208+BT209</f>
        <v>4.0453562628852975E-2</v>
      </c>
      <c r="BV209" s="207">
        <f>BV188/SUM(BV$188:BV$202)</f>
        <v>3.8793103448275877E-2</v>
      </c>
      <c r="BW209" s="207">
        <f t="shared" ref="BW209:BW223" si="116">BW208+BV209</f>
        <v>3.8793103448275877E-2</v>
      </c>
      <c r="BX209" s="49"/>
      <c r="BY209" s="92">
        <f t="shared" ref="BY209:BY223" si="117">BY187/SUM($BG$184:$BG$202)</f>
        <v>0</v>
      </c>
      <c r="BZ209" s="255"/>
      <c r="CA209" s="255"/>
      <c r="CB209" s="255"/>
      <c r="CC209" s="255"/>
      <c r="CD209" s="255"/>
      <c r="CE209" s="255"/>
      <c r="CF209" s="255"/>
      <c r="CG209" s="255"/>
      <c r="CH209" s="255"/>
      <c r="CI209" s="255"/>
      <c r="CJ209" s="255"/>
      <c r="CK209" s="255"/>
      <c r="CL209" s="255"/>
      <c r="CM209" s="255"/>
      <c r="CN209" s="255"/>
      <c r="CO209" s="255"/>
      <c r="CP209" s="255"/>
      <c r="CQ209" s="255"/>
      <c r="CR209" s="255"/>
    </row>
    <row r="210" spans="1:96" s="2" customFormat="1" ht="18" x14ac:dyDescent="0.25">
      <c r="A210" s="255"/>
      <c r="B210" s="255"/>
      <c r="C210" s="255"/>
      <c r="D210" s="255"/>
      <c r="E210" s="255"/>
      <c r="F210" s="255"/>
      <c r="G210" s="255"/>
      <c r="H210" s="255"/>
      <c r="I210" s="255"/>
      <c r="J210" s="255"/>
      <c r="K210" s="255"/>
      <c r="L210" s="255"/>
      <c r="M210" s="298"/>
      <c r="N210" s="255"/>
      <c r="O210" s="300"/>
      <c r="P210" s="255"/>
      <c r="Q210" s="223"/>
      <c r="R210" s="47"/>
      <c r="S210" s="47"/>
      <c r="T210" s="47"/>
      <c r="U210" s="47"/>
      <c r="V210" s="47"/>
      <c r="W210" s="47"/>
      <c r="X210" s="47"/>
      <c r="Y210" s="47"/>
      <c r="Z210" s="47"/>
      <c r="AA210" s="42"/>
      <c r="AB210" s="42"/>
      <c r="AC210" s="42"/>
      <c r="AD210" s="42"/>
      <c r="AE210" s="47"/>
      <c r="AF210" s="47"/>
      <c r="AG210" s="386">
        <f>AG209/AI209</f>
        <v>237.21167275105478</v>
      </c>
      <c r="AH210" s="67"/>
      <c r="AI210" s="47"/>
      <c r="AJ210" s="67"/>
      <c r="AK210" s="386">
        <f>AK209/AM209</f>
        <v>219.43858156306726</v>
      </c>
      <c r="AL210" s="65"/>
      <c r="AM210" s="47"/>
      <c r="AN210" s="67"/>
      <c r="AO210" s="42"/>
      <c r="AP210" s="47">
        <v>8</v>
      </c>
      <c r="AQ210" s="47"/>
      <c r="AR210" s="47"/>
      <c r="AS210" s="47"/>
      <c r="AT210" s="47"/>
      <c r="AU210" s="92">
        <f t="shared" si="100"/>
        <v>7.2233091849441114E-2</v>
      </c>
      <c r="AV210" s="209">
        <f t="shared" si="101"/>
        <v>0.26629144020349038</v>
      </c>
      <c r="AW210" s="92">
        <f t="shared" si="102"/>
        <v>7.5113122171945712E-2</v>
      </c>
      <c r="AX210" s="209">
        <f t="shared" si="103"/>
        <v>0.28235294117647064</v>
      </c>
      <c r="AY210" s="47"/>
      <c r="AZ210" s="47"/>
      <c r="BA210" s="47"/>
      <c r="BB210" s="47"/>
      <c r="BC210" s="92">
        <f t="shared" si="104"/>
        <v>5.8773110252080672E-2</v>
      </c>
      <c r="BD210" s="209">
        <f t="shared" si="112"/>
        <v>0.27115171982274638</v>
      </c>
      <c r="BE210" s="92">
        <f t="shared" si="106"/>
        <v>4.9261083743842374E-2</v>
      </c>
      <c r="BF210" s="209">
        <f t="shared" si="113"/>
        <v>0.28571428571428575</v>
      </c>
      <c r="BG210" s="92">
        <f t="shared" ref="BG210:BG223" si="118">BG189/SUM(BG$188:BG$202)</f>
        <v>6.7460015232292461E-2</v>
      </c>
      <c r="BH210" s="207">
        <f t="shared" si="114"/>
        <v>0.11966869763899468</v>
      </c>
      <c r="BI210" s="92">
        <f t="shared" ref="BI210:BI223" si="119">BI189/SUM(BI$188:BI$202)</f>
        <v>6.1594202898550728E-2</v>
      </c>
      <c r="BJ210" s="92">
        <f t="shared" si="114"/>
        <v>0.11956521739130435</v>
      </c>
      <c r="BK210" s="92">
        <f t="shared" ref="BK210:BK223" si="120">BK189/SUM(BK$188:BK$202)</f>
        <v>4.0482218897456561E-2</v>
      </c>
      <c r="BL210" s="92">
        <f t="shared" si="114"/>
        <v>7.1440902290252059E-2</v>
      </c>
      <c r="BM210" s="92">
        <f t="shared" ref="BM210:BM223" si="121">BM189/SUM(BM$188:BM$202)</f>
        <v>4.7222222222222221E-2</v>
      </c>
      <c r="BN210" s="92">
        <f t="shared" si="114"/>
        <v>8.611111111111111E-2</v>
      </c>
      <c r="BO210" s="92">
        <f t="shared" si="108"/>
        <v>2.709190672153635E-2</v>
      </c>
      <c r="BP210" s="208">
        <f t="shared" si="114"/>
        <v>0.16188271604938273</v>
      </c>
      <c r="BQ210" s="92">
        <f t="shared" si="110"/>
        <v>2.4436090225563908E-2</v>
      </c>
      <c r="BR210" s="208">
        <f t="shared" si="114"/>
        <v>0.15789473684210525</v>
      </c>
      <c r="BS210" s="47"/>
      <c r="BT210" s="207">
        <f t="shared" ref="BT210:BT223" si="122">BT189/SUM(BT$188:BT$202)</f>
        <v>6.2829989440337908E-2</v>
      </c>
      <c r="BU210" s="207">
        <f t="shared" si="115"/>
        <v>0.10328355206919088</v>
      </c>
      <c r="BV210" s="207">
        <f t="shared" ref="BV210:BV223" si="123">BV189/SUM(BV$188:BV$202)</f>
        <v>5.1724137931034468E-2</v>
      </c>
      <c r="BW210" s="207">
        <f t="shared" si="116"/>
        <v>9.0517241379310345E-2</v>
      </c>
      <c r="BX210" s="49"/>
      <c r="BY210" s="92">
        <f t="shared" si="117"/>
        <v>0</v>
      </c>
      <c r="BZ210" s="255"/>
      <c r="CA210" s="255"/>
      <c r="CB210" s="255"/>
      <c r="CC210" s="255"/>
      <c r="CD210" s="255"/>
      <c r="CE210" s="255"/>
      <c r="CF210" s="255"/>
      <c r="CG210" s="255"/>
      <c r="CH210" s="255"/>
      <c r="CI210" s="255"/>
      <c r="CJ210" s="255"/>
      <c r="CK210" s="255"/>
      <c r="CL210" s="255"/>
      <c r="CM210" s="255"/>
      <c r="CN210" s="255"/>
      <c r="CO210" s="255"/>
      <c r="CP210" s="255"/>
      <c r="CQ210" s="255"/>
      <c r="CR210" s="255"/>
    </row>
    <row r="211" spans="1:96" s="2" customFormat="1" ht="18" x14ac:dyDescent="0.25">
      <c r="A211" s="255"/>
      <c r="B211" s="255"/>
      <c r="C211" s="255"/>
      <c r="D211" s="255"/>
      <c r="E211" s="255"/>
      <c r="F211" s="255"/>
      <c r="G211" s="255"/>
      <c r="H211" s="255"/>
      <c r="I211" s="255"/>
      <c r="J211" s="255"/>
      <c r="K211" s="255"/>
      <c r="L211" s="255"/>
      <c r="M211" s="298"/>
      <c r="N211" s="255"/>
      <c r="O211" s="300"/>
      <c r="P211" s="255"/>
      <c r="Q211" s="223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67"/>
      <c r="AI211" s="47"/>
      <c r="AJ211" s="67"/>
      <c r="AK211" s="47"/>
      <c r="AL211" s="67"/>
      <c r="AM211" s="47"/>
      <c r="AN211" s="67"/>
      <c r="AO211" s="47"/>
      <c r="AP211" s="47">
        <v>9</v>
      </c>
      <c r="AQ211" s="47"/>
      <c r="AR211" s="47"/>
      <c r="AS211" s="47"/>
      <c r="AT211" s="47"/>
      <c r="AU211" s="92">
        <f t="shared" si="100"/>
        <v>4.7751630709202054E-2</v>
      </c>
      <c r="AV211" s="209">
        <f t="shared" si="101"/>
        <v>0.31404307091269246</v>
      </c>
      <c r="AW211" s="92">
        <f t="shared" si="102"/>
        <v>5.3393665158371052E-2</v>
      </c>
      <c r="AX211" s="209">
        <f t="shared" si="103"/>
        <v>0.33574660633484171</v>
      </c>
      <c r="AY211" s="47"/>
      <c r="AZ211" s="47"/>
      <c r="BA211" s="47"/>
      <c r="BB211" s="47"/>
      <c r="BC211" s="92">
        <f t="shared" si="104"/>
        <v>3.8467802072529977E-2</v>
      </c>
      <c r="BD211" s="209">
        <f t="shared" si="112"/>
        <v>0.30961952189527636</v>
      </c>
      <c r="BE211" s="92">
        <f t="shared" si="106"/>
        <v>3.4482758620689662E-2</v>
      </c>
      <c r="BF211" s="209">
        <f t="shared" si="113"/>
        <v>0.32019704433497542</v>
      </c>
      <c r="BG211" s="92">
        <f t="shared" si="118"/>
        <v>4.1984006092916984E-2</v>
      </c>
      <c r="BH211" s="207">
        <f t="shared" si="114"/>
        <v>0.16165270373191165</v>
      </c>
      <c r="BI211" s="92">
        <f t="shared" si="119"/>
        <v>5.0724637681159424E-2</v>
      </c>
      <c r="BJ211" s="92">
        <f t="shared" si="114"/>
        <v>0.17028985507246377</v>
      </c>
      <c r="BK211" s="92">
        <f t="shared" si="120"/>
        <v>6.4808953849695025E-2</v>
      </c>
      <c r="BL211" s="92">
        <f t="shared" si="114"/>
        <v>0.13624985613994708</v>
      </c>
      <c r="BM211" s="92">
        <f t="shared" si="121"/>
        <v>6.9444444444444434E-2</v>
      </c>
      <c r="BN211" s="92">
        <f t="shared" si="114"/>
        <v>0.15555555555555556</v>
      </c>
      <c r="BO211" s="92">
        <f t="shared" si="108"/>
        <v>3.2698902606310011E-2</v>
      </c>
      <c r="BP211" s="208">
        <f t="shared" si="114"/>
        <v>0.19458161865569273</v>
      </c>
      <c r="BQ211" s="92">
        <f t="shared" si="110"/>
        <v>3.9473684210526314E-2</v>
      </c>
      <c r="BR211" s="208">
        <f t="shared" si="114"/>
        <v>0.19736842105263158</v>
      </c>
      <c r="BS211" s="47"/>
      <c r="BT211" s="207">
        <f t="shared" si="122"/>
        <v>2.9893900538039992E-2</v>
      </c>
      <c r="BU211" s="207">
        <f t="shared" si="115"/>
        <v>0.13317745260723088</v>
      </c>
      <c r="BV211" s="207">
        <f t="shared" si="123"/>
        <v>2.5862068965517276E-2</v>
      </c>
      <c r="BW211" s="207">
        <f t="shared" si="116"/>
        <v>0.11637931034482762</v>
      </c>
      <c r="BX211" s="49"/>
      <c r="BY211" s="92">
        <f t="shared" si="117"/>
        <v>0</v>
      </c>
      <c r="BZ211" s="255"/>
      <c r="CA211" s="255"/>
      <c r="CB211" s="255"/>
      <c r="CC211" s="255"/>
      <c r="CD211" s="255"/>
      <c r="CE211" s="255"/>
      <c r="CF211" s="255"/>
      <c r="CG211" s="255"/>
      <c r="CH211" s="255"/>
      <c r="CI211" s="255"/>
      <c r="CJ211" s="255"/>
      <c r="CK211" s="255"/>
      <c r="CL211" s="255"/>
      <c r="CM211" s="255"/>
      <c r="CN211" s="255"/>
      <c r="CO211" s="255"/>
      <c r="CP211" s="255"/>
      <c r="CQ211" s="255"/>
      <c r="CR211" s="255"/>
    </row>
    <row r="212" spans="1:96" s="2" customFormat="1" ht="18.75" hidden="1" customHeight="1" outlineLevel="1" x14ac:dyDescent="0.3">
      <c r="A212" s="255"/>
      <c r="B212" s="307"/>
      <c r="C212" s="255"/>
      <c r="D212" s="255"/>
      <c r="E212" s="286"/>
      <c r="F212" s="286"/>
      <c r="G212" s="286"/>
      <c r="H212" s="286"/>
      <c r="I212" s="286"/>
      <c r="J212" s="286"/>
      <c r="K212" s="286"/>
      <c r="L212" s="286"/>
      <c r="M212" s="277"/>
      <c r="N212" s="278"/>
      <c r="O212" s="279"/>
      <c r="P212" s="255"/>
      <c r="Q212" s="223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8"/>
      <c r="AE212" s="47"/>
      <c r="AF212" s="47"/>
      <c r="AG212" s="47"/>
      <c r="AH212" s="67"/>
      <c r="AI212" s="67"/>
      <c r="AJ212" s="67"/>
      <c r="AK212" s="47"/>
      <c r="AL212" s="67"/>
      <c r="AM212" s="67"/>
      <c r="AN212" s="67"/>
      <c r="AO212" s="47"/>
      <c r="AP212" s="47">
        <v>10</v>
      </c>
      <c r="AQ212" s="47"/>
      <c r="AR212" s="47"/>
      <c r="AS212" s="47"/>
      <c r="AT212" s="47"/>
      <c r="AU212" s="92">
        <f t="shared" si="100"/>
        <v>3.4911153500707184E-2</v>
      </c>
      <c r="AV212" s="209">
        <f t="shared" si="101"/>
        <v>0.34895422441339963</v>
      </c>
      <c r="AW212" s="92">
        <f t="shared" si="102"/>
        <v>3.800904977375566E-2</v>
      </c>
      <c r="AX212" s="209">
        <f t="shared" si="103"/>
        <v>0.3737556561085974</v>
      </c>
      <c r="AY212" s="47"/>
      <c r="AZ212" s="47"/>
      <c r="BA212" s="47"/>
      <c r="BB212" s="47"/>
      <c r="BC212" s="92">
        <f t="shared" si="104"/>
        <v>3.9016362529892261E-2</v>
      </c>
      <c r="BD212" s="209">
        <f t="shared" si="112"/>
        <v>0.34863588442516863</v>
      </c>
      <c r="BE212" s="92">
        <f t="shared" si="106"/>
        <v>3.4482758620689662E-2</v>
      </c>
      <c r="BF212" s="209">
        <f t="shared" si="113"/>
        <v>0.35467980295566509</v>
      </c>
      <c r="BG212" s="92">
        <f t="shared" si="118"/>
        <v>5.4874333587204879E-2</v>
      </c>
      <c r="BH212" s="207">
        <f t="shared" si="114"/>
        <v>0.21652703731911654</v>
      </c>
      <c r="BI212" s="92">
        <f t="shared" si="119"/>
        <v>5.4347826086956527E-2</v>
      </c>
      <c r="BJ212" s="92">
        <f t="shared" si="114"/>
        <v>0.22463768115942029</v>
      </c>
      <c r="BK212" s="92">
        <f t="shared" si="120"/>
        <v>4.8193117735067327E-2</v>
      </c>
      <c r="BL212" s="92">
        <f t="shared" si="114"/>
        <v>0.1844429738750144</v>
      </c>
      <c r="BM212" s="92">
        <f t="shared" si="121"/>
        <v>5.2777777777777778E-2</v>
      </c>
      <c r="BN212" s="92">
        <f t="shared" si="114"/>
        <v>0.20833333333333334</v>
      </c>
      <c r="BO212" s="92">
        <f t="shared" si="108"/>
        <v>4.0552126200274347E-2</v>
      </c>
      <c r="BP212" s="208">
        <f t="shared" si="114"/>
        <v>0.23513374485596708</v>
      </c>
      <c r="BQ212" s="92">
        <f t="shared" si="110"/>
        <v>3.9473684210526314E-2</v>
      </c>
      <c r="BR212" s="208">
        <f t="shared" si="114"/>
        <v>0.23684210526315791</v>
      </c>
      <c r="BS212" s="47"/>
      <c r="BT212" s="207">
        <f t="shared" si="122"/>
        <v>9.3503293608890273E-2</v>
      </c>
      <c r="BU212" s="207">
        <f t="shared" si="115"/>
        <v>0.22668074621612117</v>
      </c>
      <c r="BV212" s="207">
        <f t="shared" si="123"/>
        <v>8.1896551724137859E-2</v>
      </c>
      <c r="BW212" s="207">
        <f t="shared" si="116"/>
        <v>0.19827586206896547</v>
      </c>
      <c r="BX212" s="49"/>
      <c r="BY212" s="92">
        <f t="shared" si="117"/>
        <v>0</v>
      </c>
      <c r="BZ212" s="255"/>
      <c r="CA212" s="255"/>
      <c r="CB212" s="255"/>
      <c r="CC212" s="255"/>
      <c r="CD212" s="255"/>
      <c r="CE212" s="255"/>
      <c r="CF212" s="255"/>
      <c r="CG212" s="255"/>
      <c r="CH212" s="255"/>
      <c r="CI212" s="255"/>
      <c r="CJ212" s="255"/>
      <c r="CK212" s="255"/>
      <c r="CL212" s="255"/>
      <c r="CM212" s="255"/>
      <c r="CN212" s="255"/>
      <c r="CO212" s="255"/>
      <c r="CP212" s="255"/>
      <c r="CQ212" s="255"/>
      <c r="CR212" s="255"/>
    </row>
    <row r="213" spans="1:96" s="2" customFormat="1" ht="19.5" hidden="1" customHeight="1" outlineLevel="1" thickBot="1" x14ac:dyDescent="0.35">
      <c r="A213" s="255"/>
      <c r="B213" s="270"/>
      <c r="C213" s="255"/>
      <c r="D213" s="255"/>
      <c r="E213" s="286"/>
      <c r="F213" s="286"/>
      <c r="G213" s="286"/>
      <c r="H213" s="286"/>
      <c r="I213" s="286"/>
      <c r="J213" s="286"/>
      <c r="K213" s="286"/>
      <c r="L213" s="286"/>
      <c r="M213" s="277"/>
      <c r="N213" s="278"/>
      <c r="O213" s="279"/>
      <c r="P213" s="255"/>
      <c r="Q213" s="223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8"/>
      <c r="AE213" s="47"/>
      <c r="AF213" s="47"/>
      <c r="AG213" s="47"/>
      <c r="AH213" s="67"/>
      <c r="AI213" s="67"/>
      <c r="AJ213" s="67"/>
      <c r="AK213" s="47"/>
      <c r="AL213" s="67"/>
      <c r="AM213" s="67"/>
      <c r="AN213" s="67"/>
      <c r="AO213" s="47"/>
      <c r="AP213" s="47">
        <v>11</v>
      </c>
      <c r="AQ213" s="47"/>
      <c r="AR213" s="47"/>
      <c r="AS213" s="47"/>
      <c r="AT213" s="47"/>
      <c r="AU213" s="92">
        <f t="shared" si="100"/>
        <v>3.5068464094379401E-2</v>
      </c>
      <c r="AV213" s="209">
        <f t="shared" si="101"/>
        <v>0.38402268850777904</v>
      </c>
      <c r="AW213" s="92">
        <f t="shared" si="102"/>
        <v>3.800904977375566E-2</v>
      </c>
      <c r="AX213" s="209">
        <f t="shared" si="103"/>
        <v>0.41176470588235303</v>
      </c>
      <c r="AY213" s="47"/>
      <c r="AZ213" s="47"/>
      <c r="BA213" s="47"/>
      <c r="BB213" s="47"/>
      <c r="BC213" s="92">
        <f t="shared" si="104"/>
        <v>2.752230669672321E-2</v>
      </c>
      <c r="BD213" s="209">
        <f t="shared" si="112"/>
        <v>0.37615819112189186</v>
      </c>
      <c r="BE213" s="92">
        <f t="shared" si="106"/>
        <v>2.8325123152709363E-2</v>
      </c>
      <c r="BF213" s="209">
        <f t="shared" si="113"/>
        <v>0.38300492610837444</v>
      </c>
      <c r="BG213" s="92">
        <f t="shared" si="118"/>
        <v>2.7246763137852247E-2</v>
      </c>
      <c r="BH213" s="207">
        <f t="shared" si="114"/>
        <v>0.24377380045696878</v>
      </c>
      <c r="BI213" s="92">
        <f t="shared" si="119"/>
        <v>3.2608695652173912E-2</v>
      </c>
      <c r="BJ213" s="92">
        <f t="shared" si="114"/>
        <v>0.25724637681159418</v>
      </c>
      <c r="BK213" s="92">
        <f t="shared" si="120"/>
        <v>4.3416963977442748E-2</v>
      </c>
      <c r="BL213" s="92">
        <f t="shared" si="114"/>
        <v>0.22785993785245715</v>
      </c>
      <c r="BM213" s="92">
        <f t="shared" si="121"/>
        <v>4.7222222222222221E-2</v>
      </c>
      <c r="BN213" s="92">
        <f t="shared" si="114"/>
        <v>0.25555555555555554</v>
      </c>
      <c r="BO213" s="92">
        <f t="shared" si="108"/>
        <v>1.4874828532235939E-2</v>
      </c>
      <c r="BP213" s="208">
        <f t="shared" si="114"/>
        <v>0.25000857338820304</v>
      </c>
      <c r="BQ213" s="92">
        <f t="shared" si="110"/>
        <v>1.1278195488721804E-2</v>
      </c>
      <c r="BR213" s="208">
        <f t="shared" si="114"/>
        <v>0.24812030075187971</v>
      </c>
      <c r="BS213" s="47"/>
      <c r="BT213" s="207">
        <f t="shared" si="122"/>
        <v>7.8342635892794193E-2</v>
      </c>
      <c r="BU213" s="207">
        <f t="shared" si="115"/>
        <v>0.30502338210891533</v>
      </c>
      <c r="BV213" s="207">
        <f t="shared" si="123"/>
        <v>7.3275862068965553E-2</v>
      </c>
      <c r="BW213" s="207">
        <f t="shared" si="116"/>
        <v>0.27155172413793105</v>
      </c>
      <c r="BX213" s="49"/>
      <c r="BY213" s="92">
        <f t="shared" si="117"/>
        <v>0</v>
      </c>
      <c r="BZ213" s="255"/>
      <c r="CA213" s="255"/>
      <c r="CB213" s="255"/>
      <c r="CC213" s="255"/>
      <c r="CD213" s="255"/>
      <c r="CE213" s="255"/>
      <c r="CF213" s="255"/>
      <c r="CG213" s="255"/>
      <c r="CH213" s="255"/>
      <c r="CI213" s="255"/>
      <c r="CJ213" s="255"/>
      <c r="CK213" s="255"/>
      <c r="CL213" s="255"/>
      <c r="CM213" s="255"/>
      <c r="CN213" s="255"/>
      <c r="CO213" s="255"/>
      <c r="CP213" s="255"/>
      <c r="CQ213" s="255"/>
      <c r="CR213" s="255"/>
    </row>
    <row r="214" spans="1:96" s="2" customFormat="1" ht="19.5" hidden="1" customHeight="1" outlineLevel="1" thickBot="1" x14ac:dyDescent="0.35">
      <c r="A214" s="255"/>
      <c r="B214" s="315" t="s">
        <v>12</v>
      </c>
      <c r="C214" s="255"/>
      <c r="D214" s="255"/>
      <c r="E214" s="286"/>
      <c r="F214" s="286"/>
      <c r="G214" s="286"/>
      <c r="H214" s="286"/>
      <c r="I214" s="286"/>
      <c r="J214" s="286"/>
      <c r="K214" s="286"/>
      <c r="L214" s="286"/>
      <c r="M214" s="277"/>
      <c r="N214" s="278"/>
      <c r="O214" s="279"/>
      <c r="P214" s="255"/>
      <c r="Q214" s="223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8"/>
      <c r="AE214" s="47"/>
      <c r="AF214" s="47"/>
      <c r="AG214" s="47"/>
      <c r="AH214" s="67"/>
      <c r="AI214" s="67"/>
      <c r="AJ214" s="67"/>
      <c r="AK214" s="47"/>
      <c r="AL214" s="67"/>
      <c r="AM214" s="67"/>
      <c r="AN214" s="67"/>
      <c r="AO214" s="47"/>
      <c r="AP214" s="47">
        <v>12</v>
      </c>
      <c r="AQ214" s="47"/>
      <c r="AR214" s="47"/>
      <c r="AS214" s="47"/>
      <c r="AT214" s="47"/>
      <c r="AU214" s="92">
        <f t="shared" si="100"/>
        <v>3.5670177115175637E-2</v>
      </c>
      <c r="AV214" s="209">
        <f t="shared" si="101"/>
        <v>0.41969286562295466</v>
      </c>
      <c r="AW214" s="92">
        <f t="shared" si="102"/>
        <v>3.7104072398190052E-2</v>
      </c>
      <c r="AX214" s="209">
        <f t="shared" si="103"/>
        <v>0.44886877828054306</v>
      </c>
      <c r="AY214" s="47"/>
      <c r="AZ214" s="47"/>
      <c r="BA214" s="47"/>
      <c r="BB214" s="47"/>
      <c r="BC214" s="92">
        <f t="shared" si="104"/>
        <v>2.8927992868714055E-2</v>
      </c>
      <c r="BD214" s="209">
        <f t="shared" si="112"/>
        <v>0.40508618399060592</v>
      </c>
      <c r="BE214" s="92">
        <f t="shared" si="106"/>
        <v>3.2019704433497539E-2</v>
      </c>
      <c r="BF214" s="209">
        <f t="shared" si="113"/>
        <v>0.415024630541872</v>
      </c>
      <c r="BG214" s="92">
        <f t="shared" si="118"/>
        <v>7.4904798172124906E-2</v>
      </c>
      <c r="BH214" s="207">
        <f t="shared" si="114"/>
        <v>0.3186785986290937</v>
      </c>
      <c r="BI214" s="92">
        <f t="shared" si="119"/>
        <v>7.2463768115942032E-2</v>
      </c>
      <c r="BJ214" s="92">
        <f t="shared" si="114"/>
        <v>0.3297101449275362</v>
      </c>
      <c r="BK214" s="92">
        <f t="shared" si="120"/>
        <v>2.3276556565772818E-2</v>
      </c>
      <c r="BL214" s="92">
        <f t="shared" si="114"/>
        <v>0.25113649441822994</v>
      </c>
      <c r="BM214" s="92">
        <f t="shared" si="121"/>
        <v>2.5000000000000001E-2</v>
      </c>
      <c r="BN214" s="92">
        <f t="shared" si="114"/>
        <v>0.28055555555555556</v>
      </c>
      <c r="BO214" s="92">
        <f t="shared" si="108"/>
        <v>2.650891632373114E-2</v>
      </c>
      <c r="BP214" s="208">
        <f t="shared" si="114"/>
        <v>0.27651748971193418</v>
      </c>
      <c r="BQ214" s="92">
        <f t="shared" si="110"/>
        <v>2.819548872180451E-2</v>
      </c>
      <c r="BR214" s="208">
        <f t="shared" si="114"/>
        <v>0.27631578947368424</v>
      </c>
      <c r="BS214" s="47"/>
      <c r="BT214" s="207">
        <f t="shared" si="122"/>
        <v>5.7399306079348449E-2</v>
      </c>
      <c r="BU214" s="207">
        <f t="shared" si="115"/>
        <v>0.36242268818826379</v>
      </c>
      <c r="BV214" s="207">
        <f t="shared" si="123"/>
        <v>6.4655172413793066E-2</v>
      </c>
      <c r="BW214" s="207">
        <f t="shared" si="116"/>
        <v>0.33620689655172409</v>
      </c>
      <c r="BX214" s="49"/>
      <c r="BY214" s="92">
        <f t="shared" si="117"/>
        <v>0</v>
      </c>
      <c r="BZ214" s="255"/>
      <c r="CA214" s="255"/>
      <c r="CB214" s="255"/>
      <c r="CC214" s="255"/>
      <c r="CD214" s="255"/>
      <c r="CE214" s="255"/>
      <c r="CF214" s="255"/>
      <c r="CG214" s="255"/>
      <c r="CH214" s="255"/>
      <c r="CI214" s="255"/>
      <c r="CJ214" s="255"/>
      <c r="CK214" s="255"/>
      <c r="CL214" s="255"/>
      <c r="CM214" s="255"/>
      <c r="CN214" s="255"/>
      <c r="CO214" s="255"/>
      <c r="CP214" s="255"/>
      <c r="CQ214" s="255"/>
      <c r="CR214" s="255"/>
    </row>
    <row r="215" spans="1:96" s="2" customFormat="1" ht="19.5" hidden="1" customHeight="1" outlineLevel="1" thickBot="1" x14ac:dyDescent="0.35">
      <c r="A215" s="255"/>
      <c r="B215" s="315"/>
      <c r="C215" s="255"/>
      <c r="D215" s="255"/>
      <c r="E215" s="286"/>
      <c r="F215" s="286"/>
      <c r="G215" s="286"/>
      <c r="H215" s="286"/>
      <c r="I215" s="286"/>
      <c r="J215" s="286"/>
      <c r="K215" s="286"/>
      <c r="L215" s="286"/>
      <c r="M215" s="277"/>
      <c r="N215" s="278"/>
      <c r="O215" s="279"/>
      <c r="P215" s="255"/>
      <c r="Q215" s="223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8"/>
      <c r="AE215" s="47"/>
      <c r="AF215" s="47"/>
      <c r="AG215" s="47"/>
      <c r="AH215" s="67"/>
      <c r="AI215" s="67"/>
      <c r="AJ215" s="67"/>
      <c r="AK215" s="47"/>
      <c r="AL215" s="67"/>
      <c r="AM215" s="67"/>
      <c r="AN215" s="67"/>
      <c r="AO215" s="47"/>
      <c r="AP215" s="47">
        <v>13</v>
      </c>
      <c r="AQ215" s="47"/>
      <c r="AR215" s="47"/>
      <c r="AS215" s="47"/>
      <c r="AT215" s="47"/>
      <c r="AU215" s="92">
        <f t="shared" si="100"/>
        <v>3.082107806522949E-2</v>
      </c>
      <c r="AV215" s="209">
        <f t="shared" si="101"/>
        <v>0.45051394368818415</v>
      </c>
      <c r="AW215" s="92">
        <f t="shared" si="102"/>
        <v>3.1674208144796386E-2</v>
      </c>
      <c r="AX215" s="209">
        <f t="shared" si="103"/>
        <v>0.48054298642533944</v>
      </c>
      <c r="AY215" s="47"/>
      <c r="AZ215" s="47"/>
      <c r="BA215" s="47"/>
      <c r="BB215" s="47"/>
      <c r="BC215" s="92">
        <f t="shared" si="104"/>
        <v>2.2765258980534678E-2</v>
      </c>
      <c r="BD215" s="209">
        <f t="shared" si="112"/>
        <v>0.42785144297114058</v>
      </c>
      <c r="BE215" s="92">
        <f t="shared" si="106"/>
        <v>1.970443349753695E-2</v>
      </c>
      <c r="BF215" s="209">
        <f t="shared" si="113"/>
        <v>0.43472906403940892</v>
      </c>
      <c r="BG215" s="92">
        <f t="shared" si="118"/>
        <v>2.6028179741051028E-2</v>
      </c>
      <c r="BH215" s="207">
        <f t="shared" si="114"/>
        <v>0.34470677837014474</v>
      </c>
      <c r="BI215" s="92">
        <f t="shared" si="119"/>
        <v>2.8985507246376815E-2</v>
      </c>
      <c r="BJ215" s="92">
        <f t="shared" si="114"/>
        <v>0.35869565217391303</v>
      </c>
      <c r="BK215" s="92">
        <f t="shared" si="120"/>
        <v>4.0180112786281509E-2</v>
      </c>
      <c r="BL215" s="92">
        <f t="shared" si="114"/>
        <v>0.29131660720451147</v>
      </c>
      <c r="BM215" s="92">
        <f t="shared" si="121"/>
        <v>4.1666666666666664E-2</v>
      </c>
      <c r="BN215" s="92">
        <f t="shared" si="114"/>
        <v>0.32222222222222224</v>
      </c>
      <c r="BO215" s="92">
        <f t="shared" si="108"/>
        <v>2.4931412894375858E-2</v>
      </c>
      <c r="BP215" s="208">
        <f t="shared" si="114"/>
        <v>0.30144890260631002</v>
      </c>
      <c r="BQ215" s="92">
        <f t="shared" si="110"/>
        <v>2.819548872180451E-2</v>
      </c>
      <c r="BR215" s="208">
        <f t="shared" si="114"/>
        <v>0.30451127819548873</v>
      </c>
      <c r="BS215" s="47"/>
      <c r="BT215" s="207">
        <f t="shared" si="122"/>
        <v>1.8051993764770864E-2</v>
      </c>
      <c r="BU215" s="207">
        <f t="shared" si="115"/>
        <v>0.38047468195303463</v>
      </c>
      <c r="BV215" s="207">
        <f t="shared" si="123"/>
        <v>1.7241379310344796E-2</v>
      </c>
      <c r="BW215" s="207">
        <f t="shared" si="116"/>
        <v>0.35344827586206889</v>
      </c>
      <c r="BX215" s="49"/>
      <c r="BY215" s="92">
        <f t="shared" si="117"/>
        <v>0.6020628131872241</v>
      </c>
      <c r="BZ215" s="255"/>
      <c r="CA215" s="255"/>
      <c r="CB215" s="255"/>
      <c r="CC215" s="255"/>
      <c r="CD215" s="255"/>
      <c r="CE215" s="255"/>
      <c r="CF215" s="255"/>
      <c r="CG215" s="255"/>
      <c r="CH215" s="255"/>
      <c r="CI215" s="255"/>
      <c r="CJ215" s="255"/>
      <c r="CK215" s="255"/>
      <c r="CL215" s="255"/>
      <c r="CM215" s="255"/>
      <c r="CN215" s="255"/>
      <c r="CO215" s="255"/>
      <c r="CP215" s="255"/>
      <c r="CQ215" s="255"/>
      <c r="CR215" s="255"/>
    </row>
    <row r="216" spans="1:96" s="2" customFormat="1" collapsed="1" x14ac:dyDescent="0.3">
      <c r="A216" s="255"/>
      <c r="B216" s="270"/>
      <c r="C216" s="255"/>
      <c r="D216" s="255"/>
      <c r="E216" s="286"/>
      <c r="F216" s="286"/>
      <c r="G216" s="286"/>
      <c r="H216" s="286"/>
      <c r="I216" s="286"/>
      <c r="J216" s="286"/>
      <c r="K216" s="286"/>
      <c r="L216" s="286"/>
      <c r="M216" s="277"/>
      <c r="N216" s="278"/>
      <c r="O216" s="279"/>
      <c r="P216" s="255"/>
      <c r="Q216" s="223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8"/>
      <c r="AE216" s="47"/>
      <c r="AF216" s="47"/>
      <c r="AG216" s="189"/>
      <c r="AH216" s="118"/>
      <c r="AI216" s="192"/>
      <c r="AJ216" s="67"/>
      <c r="AK216" s="47"/>
      <c r="AL216" s="67"/>
      <c r="AM216" s="67"/>
      <c r="AN216" s="67"/>
      <c r="AO216" s="47"/>
      <c r="AP216" s="47">
        <v>14</v>
      </c>
      <c r="AQ216" s="47"/>
      <c r="AR216" s="47"/>
      <c r="AS216" s="47"/>
      <c r="AT216" s="47"/>
      <c r="AU216" s="92">
        <f t="shared" si="100"/>
        <v>4.3614362095622694E-2</v>
      </c>
      <c r="AV216" s="209">
        <f t="shared" si="101"/>
        <v>0.49412830578380684</v>
      </c>
      <c r="AW216" s="92">
        <f t="shared" si="102"/>
        <v>4.4343891402714941E-2</v>
      </c>
      <c r="AX216" s="209">
        <f t="shared" si="103"/>
        <v>0.52488687782805443</v>
      </c>
      <c r="AY216" s="47"/>
      <c r="AZ216" s="47"/>
      <c r="BA216" s="47"/>
      <c r="BB216" s="47"/>
      <c r="BC216" s="92">
        <f t="shared" si="104"/>
        <v>3.5939281214375715E-2</v>
      </c>
      <c r="BD216" s="209">
        <f t="shared" si="112"/>
        <v>0.46379072418551631</v>
      </c>
      <c r="BE216" s="92">
        <f t="shared" si="106"/>
        <v>3.3251231527093604E-2</v>
      </c>
      <c r="BF216" s="209">
        <f t="shared" si="113"/>
        <v>0.4679802955665025</v>
      </c>
      <c r="BG216" s="92">
        <f t="shared" si="118"/>
        <v>3.9470677837014474E-2</v>
      </c>
      <c r="BH216" s="207">
        <f t="shared" si="114"/>
        <v>0.38417745620715921</v>
      </c>
      <c r="BI216" s="92">
        <f t="shared" si="119"/>
        <v>3.9855072463768119E-2</v>
      </c>
      <c r="BJ216" s="92">
        <f t="shared" si="114"/>
        <v>0.39855072463768115</v>
      </c>
      <c r="BK216" s="92">
        <f t="shared" si="120"/>
        <v>1.9162159051674531E-2</v>
      </c>
      <c r="BL216" s="92">
        <f t="shared" si="114"/>
        <v>0.31047876625618598</v>
      </c>
      <c r="BM216" s="92">
        <f t="shared" si="121"/>
        <v>1.9444444444444441E-2</v>
      </c>
      <c r="BN216" s="92">
        <f t="shared" si="114"/>
        <v>0.34166666666666667</v>
      </c>
      <c r="BO216" s="92">
        <f t="shared" si="108"/>
        <v>3.4696502057613168E-2</v>
      </c>
      <c r="BP216" s="208">
        <f t="shared" si="114"/>
        <v>0.33614540466392318</v>
      </c>
      <c r="BQ216" s="92">
        <f t="shared" si="110"/>
        <v>3.1954887218045111E-2</v>
      </c>
      <c r="BR216" s="208">
        <f t="shared" si="114"/>
        <v>0.33646616541353386</v>
      </c>
      <c r="BS216" s="47"/>
      <c r="BT216" s="207">
        <f t="shared" si="122"/>
        <v>2.1043898023834617E-2</v>
      </c>
      <c r="BU216" s="207">
        <f t="shared" si="115"/>
        <v>0.40151857997686924</v>
      </c>
      <c r="BV216" s="207">
        <f t="shared" si="123"/>
        <v>3.4482758620689759E-2</v>
      </c>
      <c r="BW216" s="207">
        <f t="shared" si="116"/>
        <v>0.38793103448275867</v>
      </c>
      <c r="BX216" s="49"/>
      <c r="BY216" s="92">
        <f t="shared" si="117"/>
        <v>0</v>
      </c>
      <c r="BZ216" s="255"/>
      <c r="CA216" s="255"/>
      <c r="CB216" s="255"/>
      <c r="CC216" s="255"/>
      <c r="CD216" s="255"/>
      <c r="CE216" s="255"/>
      <c r="CF216" s="255"/>
      <c r="CG216" s="255"/>
      <c r="CH216" s="255"/>
      <c r="CI216" s="255"/>
      <c r="CJ216" s="255"/>
      <c r="CK216" s="255"/>
      <c r="CL216" s="255"/>
      <c r="CM216" s="255"/>
      <c r="CN216" s="255"/>
      <c r="CO216" s="255"/>
      <c r="CP216" s="255"/>
      <c r="CQ216" s="255"/>
      <c r="CR216" s="255"/>
    </row>
    <row r="217" spans="1:96" s="2" customFormat="1" x14ac:dyDescent="0.3">
      <c r="A217" s="255"/>
      <c r="B217" s="270"/>
      <c r="C217" s="255"/>
      <c r="D217" s="255"/>
      <c r="E217" s="286"/>
      <c r="F217" s="286"/>
      <c r="G217" s="286"/>
      <c r="H217" s="286"/>
      <c r="I217" s="286"/>
      <c r="J217" s="286"/>
      <c r="K217" s="286"/>
      <c r="L217" s="286"/>
      <c r="M217" s="277"/>
      <c r="N217" s="278"/>
      <c r="O217" s="279"/>
      <c r="P217" s="255"/>
      <c r="Q217" s="223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8"/>
      <c r="AE217" s="47"/>
      <c r="AF217" s="47"/>
      <c r="AG217" s="182"/>
      <c r="AH217" s="216"/>
      <c r="AI217" s="81"/>
      <c r="AJ217" s="67"/>
      <c r="AK217" s="47"/>
      <c r="AL217" s="67"/>
      <c r="AM217" s="67"/>
      <c r="AN217" s="67"/>
      <c r="AO217" s="47"/>
      <c r="AP217" s="47">
        <v>15</v>
      </c>
      <c r="AQ217" s="47"/>
      <c r="AR217" s="47"/>
      <c r="AS217" s="47"/>
      <c r="AT217" s="47"/>
      <c r="AU217" s="92">
        <f t="shared" si="100"/>
        <v>3.2284066586381124E-2</v>
      </c>
      <c r="AV217" s="209">
        <f t="shared" si="101"/>
        <v>0.52641237237018801</v>
      </c>
      <c r="AW217" s="92">
        <f t="shared" si="102"/>
        <v>3.2579185520362E-2</v>
      </c>
      <c r="AX217" s="209">
        <f t="shared" si="103"/>
        <v>0.55746606334841642</v>
      </c>
      <c r="AY217" s="47"/>
      <c r="AZ217" s="47"/>
      <c r="BA217" s="47"/>
      <c r="BB217" s="47"/>
      <c r="BC217" s="92">
        <f t="shared" si="104"/>
        <v>9.9803718211350062E-2</v>
      </c>
      <c r="BD217" s="209">
        <f t="shared" si="112"/>
        <v>0.5635944423968664</v>
      </c>
      <c r="BE217" s="92">
        <f t="shared" si="106"/>
        <v>9.9753694581280805E-2</v>
      </c>
      <c r="BF217" s="209">
        <f t="shared" si="113"/>
        <v>0.56773399014778336</v>
      </c>
      <c r="BG217" s="92">
        <f t="shared" si="118"/>
        <v>2.8484386900228486E-2</v>
      </c>
      <c r="BH217" s="207">
        <f t="shared" si="114"/>
        <v>0.41266184310738768</v>
      </c>
      <c r="BI217" s="92">
        <f t="shared" si="119"/>
        <v>2.5362318840579712E-2</v>
      </c>
      <c r="BJ217" s="92">
        <f t="shared" si="114"/>
        <v>0.42391304347826086</v>
      </c>
      <c r="BK217" s="92">
        <f t="shared" si="120"/>
        <v>2.3089538496950168E-2</v>
      </c>
      <c r="BL217" s="92">
        <f t="shared" si="114"/>
        <v>0.33356830475313615</v>
      </c>
      <c r="BM217" s="92">
        <f t="shared" si="121"/>
        <v>2.7777777777777776E-2</v>
      </c>
      <c r="BN217" s="92">
        <f t="shared" si="114"/>
        <v>0.36944444444444446</v>
      </c>
      <c r="BO217" s="92">
        <f t="shared" si="108"/>
        <v>3.7354252400548696E-2</v>
      </c>
      <c r="BP217" s="208">
        <f t="shared" si="114"/>
        <v>0.37349965706447186</v>
      </c>
      <c r="BQ217" s="92">
        <f t="shared" si="110"/>
        <v>3.5714285714285712E-2</v>
      </c>
      <c r="BR217" s="208">
        <f t="shared" si="114"/>
        <v>0.37218045112781956</v>
      </c>
      <c r="BS217" s="47"/>
      <c r="BT217" s="207">
        <f t="shared" si="122"/>
        <v>4.6764217830743762E-2</v>
      </c>
      <c r="BU217" s="207">
        <f t="shared" si="115"/>
        <v>0.44828279780761299</v>
      </c>
      <c r="BV217" s="207">
        <f t="shared" si="123"/>
        <v>3.8793103448275877E-2</v>
      </c>
      <c r="BW217" s="207">
        <f t="shared" si="116"/>
        <v>0.42672413793103453</v>
      </c>
      <c r="BX217" s="49"/>
      <c r="BY217" s="92">
        <f t="shared" si="117"/>
        <v>0</v>
      </c>
      <c r="BZ217" s="255"/>
      <c r="CA217" s="255"/>
      <c r="CB217" s="255"/>
      <c r="CC217" s="255"/>
      <c r="CD217" s="255"/>
      <c r="CE217" s="255"/>
      <c r="CF217" s="255"/>
      <c r="CG217" s="255"/>
      <c r="CH217" s="255"/>
      <c r="CI217" s="255"/>
      <c r="CJ217" s="255"/>
      <c r="CK217" s="255"/>
      <c r="CL217" s="255"/>
      <c r="CM217" s="255"/>
      <c r="CN217" s="255"/>
      <c r="CO217" s="255"/>
      <c r="CP217" s="255"/>
      <c r="CQ217" s="255"/>
      <c r="CR217" s="255"/>
    </row>
    <row r="218" spans="1:96" s="2" customFormat="1" x14ac:dyDescent="0.3">
      <c r="A218" s="255"/>
      <c r="B218" s="270"/>
      <c r="C218" s="255"/>
      <c r="D218" s="255"/>
      <c r="E218" s="286"/>
      <c r="F218" s="286"/>
      <c r="G218" s="286"/>
      <c r="H218" s="286"/>
      <c r="I218" s="286"/>
      <c r="J218" s="286"/>
      <c r="K218" s="286"/>
      <c r="L218" s="286"/>
      <c r="M218" s="277"/>
      <c r="N218" s="278"/>
      <c r="O218" s="279"/>
      <c r="P218" s="255"/>
      <c r="Q218" s="223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8"/>
      <c r="AE218" s="47"/>
      <c r="AF218" s="47"/>
      <c r="AG218" s="182"/>
      <c r="AH218" s="216"/>
      <c r="AI218" s="81"/>
      <c r="AJ218" s="67"/>
      <c r="AK218" s="47"/>
      <c r="AL218" s="67"/>
      <c r="AM218" s="67"/>
      <c r="AN218" s="67"/>
      <c r="AO218" s="47"/>
      <c r="AP218" s="47">
        <v>16</v>
      </c>
      <c r="AQ218" s="47"/>
      <c r="AR218" s="47"/>
      <c r="AS218" s="47"/>
      <c r="AT218" s="47"/>
      <c r="AU218" s="92">
        <f t="shared" si="100"/>
        <v>3.4081340119086229E-2</v>
      </c>
      <c r="AV218" s="209">
        <f t="shared" si="101"/>
        <v>0.56049371248927427</v>
      </c>
      <c r="AW218" s="92">
        <f t="shared" si="102"/>
        <v>3.4389140271493222E-2</v>
      </c>
      <c r="AX218" s="209">
        <f t="shared" si="103"/>
        <v>0.59185520361990962</v>
      </c>
      <c r="AY218" s="47"/>
      <c r="AZ218" s="47"/>
      <c r="BA218" s="47"/>
      <c r="BB218" s="47"/>
      <c r="BC218" s="92">
        <f t="shared" si="104"/>
        <v>4.2779144417111663E-2</v>
      </c>
      <c r="BD218" s="209">
        <f t="shared" si="112"/>
        <v>0.60637358681397802</v>
      </c>
      <c r="BE218" s="92">
        <f t="shared" si="106"/>
        <v>4.5566502463054194E-2</v>
      </c>
      <c r="BF218" s="209">
        <f t="shared" si="113"/>
        <v>0.61330049261083752</v>
      </c>
      <c r="BG218" s="92">
        <f t="shared" si="118"/>
        <v>5.1180502665651183E-2</v>
      </c>
      <c r="BH218" s="207">
        <f t="shared" si="114"/>
        <v>0.46384234577303884</v>
      </c>
      <c r="BI218" s="92">
        <f t="shared" si="119"/>
        <v>4.3478260869565223E-2</v>
      </c>
      <c r="BJ218" s="92">
        <f t="shared" si="114"/>
        <v>0.46739130434782611</v>
      </c>
      <c r="BK218" s="92">
        <f t="shared" si="120"/>
        <v>4.3632754056853497E-2</v>
      </c>
      <c r="BL218" s="92">
        <f t="shared" si="114"/>
        <v>0.37720105880998966</v>
      </c>
      <c r="BM218" s="92">
        <f t="shared" si="121"/>
        <v>4.7222222222222221E-2</v>
      </c>
      <c r="BN218" s="92">
        <f t="shared" si="114"/>
        <v>0.41666666666666669</v>
      </c>
      <c r="BO218" s="92">
        <f t="shared" si="108"/>
        <v>5.1320301783264743E-2</v>
      </c>
      <c r="BP218" s="208">
        <f t="shared" si="114"/>
        <v>0.4248199588477366</v>
      </c>
      <c r="BQ218" s="92">
        <f t="shared" si="110"/>
        <v>4.3233082706766915E-2</v>
      </c>
      <c r="BR218" s="208">
        <f t="shared" si="114"/>
        <v>0.41541353383458646</v>
      </c>
      <c r="BS218" s="47"/>
      <c r="BT218" s="207">
        <f t="shared" si="122"/>
        <v>4.7166490672298576E-2</v>
      </c>
      <c r="BU218" s="207">
        <f t="shared" si="115"/>
        <v>0.49544928847991154</v>
      </c>
      <c r="BV218" s="207">
        <f t="shared" si="123"/>
        <v>4.3103448275861989E-2</v>
      </c>
      <c r="BW218" s="207">
        <f t="shared" si="116"/>
        <v>0.46982758620689652</v>
      </c>
      <c r="BX218" s="49"/>
      <c r="BY218" s="92">
        <f t="shared" si="117"/>
        <v>0</v>
      </c>
      <c r="BZ218" s="255"/>
      <c r="CA218" s="255"/>
      <c r="CB218" s="255"/>
      <c r="CC218" s="255"/>
      <c r="CD218" s="255"/>
      <c r="CE218" s="255"/>
      <c r="CF218" s="255"/>
      <c r="CG218" s="255"/>
      <c r="CH218" s="255"/>
      <c r="CI218" s="255"/>
      <c r="CJ218" s="255"/>
      <c r="CK218" s="255"/>
      <c r="CL218" s="255"/>
      <c r="CM218" s="255"/>
      <c r="CN218" s="255"/>
      <c r="CO218" s="255"/>
      <c r="CP218" s="255"/>
      <c r="CQ218" s="255"/>
      <c r="CR218" s="255"/>
    </row>
    <row r="219" spans="1:96" s="2" customFormat="1" x14ac:dyDescent="0.3">
      <c r="A219" s="255"/>
      <c r="B219" s="270"/>
      <c r="C219" s="255"/>
      <c r="D219" s="255"/>
      <c r="E219" s="286"/>
      <c r="F219" s="286"/>
      <c r="G219" s="286"/>
      <c r="H219" s="286"/>
      <c r="I219" s="286"/>
      <c r="J219" s="286"/>
      <c r="K219" s="286"/>
      <c r="L219" s="286"/>
      <c r="M219" s="277"/>
      <c r="N219" s="278"/>
      <c r="O219" s="279"/>
      <c r="P219" s="255"/>
      <c r="Q219" s="223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8"/>
      <c r="AE219" s="47"/>
      <c r="AF219" s="47"/>
      <c r="AG219" s="182"/>
      <c r="AH219" s="216"/>
      <c r="AI219" s="81"/>
      <c r="AJ219" s="67"/>
      <c r="AK219" s="47"/>
      <c r="AL219" s="67"/>
      <c r="AM219" s="67"/>
      <c r="AN219" s="67"/>
      <c r="AO219" s="47"/>
      <c r="AP219" s="47">
        <v>17</v>
      </c>
      <c r="AQ219" s="47"/>
      <c r="AR219" s="47"/>
      <c r="AS219" s="47"/>
      <c r="AT219" s="47"/>
      <c r="AU219" s="92">
        <f t="shared" si="100"/>
        <v>4.4157083643791846E-2</v>
      </c>
      <c r="AV219" s="209">
        <f t="shared" si="101"/>
        <v>0.60465079613306616</v>
      </c>
      <c r="AW219" s="92">
        <f t="shared" si="102"/>
        <v>2.3529411764705889E-2</v>
      </c>
      <c r="AX219" s="209">
        <f t="shared" si="103"/>
        <v>0.61538461538461553</v>
      </c>
      <c r="AY219" s="47"/>
      <c r="AZ219" s="47"/>
      <c r="BA219" s="47"/>
      <c r="BB219" s="47"/>
      <c r="BC219" s="92">
        <f t="shared" si="104"/>
        <v>4.2830571959989377E-2</v>
      </c>
      <c r="BD219" s="209">
        <f t="shared" si="112"/>
        <v>0.64920415877396742</v>
      </c>
      <c r="BE219" s="92">
        <f t="shared" si="106"/>
        <v>4.1871921182266014E-2</v>
      </c>
      <c r="BF219" s="209">
        <f t="shared" si="113"/>
        <v>0.65517241379310354</v>
      </c>
      <c r="BG219" s="92">
        <f t="shared" si="118"/>
        <v>4.6001523229246007E-2</v>
      </c>
      <c r="BH219" s="207">
        <f t="shared" si="114"/>
        <v>0.50984386900228484</v>
      </c>
      <c r="BI219" s="92">
        <f t="shared" si="119"/>
        <v>5.0724637681159424E-2</v>
      </c>
      <c r="BJ219" s="92">
        <f t="shared" si="114"/>
        <v>0.51811594202898559</v>
      </c>
      <c r="BK219" s="92">
        <f t="shared" si="120"/>
        <v>9.7594659914834861E-2</v>
      </c>
      <c r="BL219" s="92">
        <f t="shared" si="114"/>
        <v>0.47479571872482451</v>
      </c>
      <c r="BM219" s="92">
        <f t="shared" si="121"/>
        <v>0.11944444444444444</v>
      </c>
      <c r="BN219" s="92">
        <f t="shared" si="114"/>
        <v>0.53611111111111109</v>
      </c>
      <c r="BO219" s="92">
        <f t="shared" si="108"/>
        <v>5.2254801097393687E-2</v>
      </c>
      <c r="BP219" s="208">
        <f t="shared" si="114"/>
        <v>0.47707475994513027</v>
      </c>
      <c r="BQ219" s="92">
        <f t="shared" si="110"/>
        <v>4.8872180451127817E-2</v>
      </c>
      <c r="BR219" s="208">
        <f t="shared" si="114"/>
        <v>0.4642857142857143</v>
      </c>
      <c r="BS219" s="47"/>
      <c r="BT219" s="207">
        <f t="shared" si="122"/>
        <v>4.4300296676220534E-2</v>
      </c>
      <c r="BU219" s="207">
        <f t="shared" si="115"/>
        <v>0.53974958515613203</v>
      </c>
      <c r="BV219" s="207">
        <f t="shared" si="123"/>
        <v>3.8793103448275877E-2</v>
      </c>
      <c r="BW219" s="207">
        <f t="shared" si="116"/>
        <v>0.50862068965517238</v>
      </c>
      <c r="BX219" s="49"/>
      <c r="BY219" s="92">
        <f t="shared" si="117"/>
        <v>0</v>
      </c>
      <c r="BZ219" s="255"/>
      <c r="CA219" s="255"/>
      <c r="CB219" s="255"/>
      <c r="CC219" s="255"/>
      <c r="CD219" s="255"/>
      <c r="CE219" s="255"/>
      <c r="CF219" s="255"/>
      <c r="CG219" s="255"/>
      <c r="CH219" s="255"/>
      <c r="CI219" s="255"/>
      <c r="CJ219" s="255"/>
      <c r="CK219" s="255"/>
      <c r="CL219" s="255"/>
      <c r="CM219" s="255"/>
      <c r="CN219" s="255"/>
      <c r="CO219" s="255"/>
      <c r="CP219" s="255"/>
      <c r="CQ219" s="255"/>
      <c r="CR219" s="255"/>
    </row>
    <row r="220" spans="1:96" s="2" customFormat="1" x14ac:dyDescent="0.3">
      <c r="A220" s="255"/>
      <c r="B220" s="270"/>
      <c r="C220" s="255"/>
      <c r="D220" s="255"/>
      <c r="E220" s="286"/>
      <c r="F220" s="286"/>
      <c r="G220" s="286"/>
      <c r="H220" s="286"/>
      <c r="I220" s="286"/>
      <c r="J220" s="286"/>
      <c r="K220" s="286"/>
      <c r="L220" s="286"/>
      <c r="M220" s="277"/>
      <c r="N220" s="278"/>
      <c r="O220" s="279"/>
      <c r="P220" s="255"/>
      <c r="Q220" s="223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8"/>
      <c r="AE220" s="47"/>
      <c r="AF220" s="47"/>
      <c r="AG220" s="182"/>
      <c r="AH220" s="216"/>
      <c r="AI220" s="81"/>
      <c r="AJ220" s="67"/>
      <c r="AK220" s="47"/>
      <c r="AL220" s="67"/>
      <c r="AM220" s="67"/>
      <c r="AN220" s="67"/>
      <c r="AO220" s="47"/>
      <c r="AP220" s="47">
        <v>18</v>
      </c>
      <c r="AQ220" s="47"/>
      <c r="AR220" s="47"/>
      <c r="AS220" s="47"/>
      <c r="AT220" s="47"/>
      <c r="AU220" s="92">
        <f t="shared" si="100"/>
        <v>4.6949346681473735E-2</v>
      </c>
      <c r="AV220" s="209">
        <f t="shared" si="101"/>
        <v>0.65160014281453993</v>
      </c>
      <c r="AW220" s="92">
        <f t="shared" si="102"/>
        <v>4.5248868778280549E-2</v>
      </c>
      <c r="AX220" s="209">
        <f t="shared" si="103"/>
        <v>0.66063348416289602</v>
      </c>
      <c r="AY220" s="47"/>
      <c r="AZ220" s="47"/>
      <c r="BA220" s="47"/>
      <c r="BB220" s="47"/>
      <c r="BC220" s="92">
        <f t="shared" si="104"/>
        <v>4.163916721665567E-2</v>
      </c>
      <c r="BD220" s="209">
        <f t="shared" si="112"/>
        <v>0.69084332599062304</v>
      </c>
      <c r="BE220" s="92">
        <f t="shared" si="106"/>
        <v>4.3103448275862079E-2</v>
      </c>
      <c r="BF220" s="209">
        <f t="shared" si="113"/>
        <v>0.69827586206896564</v>
      </c>
      <c r="BG220" s="92">
        <f t="shared" si="118"/>
        <v>4.7429550647372427E-2</v>
      </c>
      <c r="BH220" s="207">
        <f t="shared" si="114"/>
        <v>0.55727341964965726</v>
      </c>
      <c r="BI220" s="92">
        <f t="shared" si="119"/>
        <v>5.0724637681159424E-2</v>
      </c>
      <c r="BJ220" s="92">
        <f t="shared" si="114"/>
        <v>0.56884057971014501</v>
      </c>
      <c r="BK220" s="92">
        <f t="shared" si="120"/>
        <v>7.3958453216710782E-2</v>
      </c>
      <c r="BL220" s="92">
        <f t="shared" si="114"/>
        <v>0.54875417194153531</v>
      </c>
      <c r="BM220" s="92">
        <f t="shared" si="121"/>
        <v>7.4999999999999997E-2</v>
      </c>
      <c r="BN220" s="92">
        <f t="shared" si="114"/>
        <v>0.61111111111111105</v>
      </c>
      <c r="BO220" s="92">
        <f t="shared" si="108"/>
        <v>5.0351508916323728E-2</v>
      </c>
      <c r="BP220" s="208">
        <f t="shared" si="114"/>
        <v>0.52742626886145394</v>
      </c>
      <c r="BQ220" s="92">
        <f t="shared" si="110"/>
        <v>5.6390977443609019E-2</v>
      </c>
      <c r="BR220" s="208">
        <f t="shared" si="114"/>
        <v>0.52067669172932329</v>
      </c>
      <c r="BS220" s="47"/>
      <c r="BT220" s="207">
        <f t="shared" si="122"/>
        <v>6.592246190979037E-2</v>
      </c>
      <c r="BU220" s="207">
        <f t="shared" si="115"/>
        <v>0.60567204706592237</v>
      </c>
      <c r="BV220" s="207">
        <f t="shared" si="123"/>
        <v>7.3275862068965469E-2</v>
      </c>
      <c r="BW220" s="207">
        <f t="shared" si="116"/>
        <v>0.5818965517241379</v>
      </c>
      <c r="BX220" s="49"/>
      <c r="BY220" s="92">
        <f t="shared" si="117"/>
        <v>0</v>
      </c>
      <c r="BZ220" s="255"/>
      <c r="CA220" s="255"/>
      <c r="CB220" s="255"/>
      <c r="CC220" s="255"/>
      <c r="CD220" s="255"/>
      <c r="CE220" s="255"/>
      <c r="CF220" s="255"/>
      <c r="CG220" s="255"/>
      <c r="CH220" s="255"/>
      <c r="CI220" s="255"/>
      <c r="CJ220" s="255"/>
      <c r="CK220" s="255"/>
      <c r="CL220" s="255"/>
      <c r="CM220" s="255"/>
      <c r="CN220" s="255"/>
      <c r="CO220" s="255"/>
      <c r="CP220" s="255"/>
      <c r="CQ220" s="255"/>
      <c r="CR220" s="255"/>
    </row>
    <row r="221" spans="1:96" s="2" customFormat="1" x14ac:dyDescent="0.3">
      <c r="A221" s="255"/>
      <c r="B221" s="270"/>
      <c r="C221" s="255"/>
      <c r="D221" s="255"/>
      <c r="E221" s="286"/>
      <c r="F221" s="286"/>
      <c r="G221" s="286"/>
      <c r="H221" s="286"/>
      <c r="I221" s="286"/>
      <c r="J221" s="286"/>
      <c r="K221" s="286"/>
      <c r="L221" s="286"/>
      <c r="M221" s="277"/>
      <c r="N221" s="278"/>
      <c r="O221" s="279"/>
      <c r="P221" s="255"/>
      <c r="Q221" s="223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8"/>
      <c r="AE221" s="47"/>
      <c r="AF221" s="47"/>
      <c r="AG221" s="182">
        <f>AG199*Vergleich!BA41</f>
        <v>0</v>
      </c>
      <c r="AH221" s="216"/>
      <c r="AI221" s="81">
        <f>ROUND(AA199*Vergleich!BB41,)</f>
        <v>0</v>
      </c>
      <c r="AJ221" s="67"/>
      <c r="AK221" s="47"/>
      <c r="AL221" s="67"/>
      <c r="AM221" s="67"/>
      <c r="AN221" s="67"/>
      <c r="AO221" s="47"/>
      <c r="AP221" s="47">
        <v>19</v>
      </c>
      <c r="AQ221" s="47"/>
      <c r="AR221" s="47"/>
      <c r="AS221" s="47"/>
      <c r="AT221" s="47"/>
      <c r="AU221" s="92">
        <f t="shared" si="100"/>
        <v>7.3971373909519134E-2</v>
      </c>
      <c r="AV221" s="209">
        <f t="shared" si="101"/>
        <v>0.72557151672405906</v>
      </c>
      <c r="AW221" s="92">
        <f t="shared" si="102"/>
        <v>7.2398190045248875E-2</v>
      </c>
      <c r="AX221" s="209">
        <f t="shared" si="103"/>
        <v>0.73303167420814486</v>
      </c>
      <c r="AY221" s="47"/>
      <c r="AZ221" s="47"/>
      <c r="BA221" s="47"/>
      <c r="BB221" s="47"/>
      <c r="BC221" s="92">
        <f t="shared" si="104"/>
        <v>7.7715588545371958E-2</v>
      </c>
      <c r="BD221" s="209">
        <f t="shared" si="112"/>
        <v>0.76855891453599501</v>
      </c>
      <c r="BE221" s="92">
        <f t="shared" si="106"/>
        <v>7.8817733990147798E-2</v>
      </c>
      <c r="BF221" s="209">
        <f t="shared" si="113"/>
        <v>0.77709359605911343</v>
      </c>
      <c r="BG221" s="92">
        <f t="shared" si="118"/>
        <v>8.9185072353389183E-2</v>
      </c>
      <c r="BH221" s="207">
        <f t="shared" si="114"/>
        <v>0.6464584920030465</v>
      </c>
      <c r="BI221" s="92">
        <f t="shared" si="119"/>
        <v>8.6956521739130446E-2</v>
      </c>
      <c r="BJ221" s="92">
        <f t="shared" si="114"/>
        <v>0.6557971014492755</v>
      </c>
      <c r="BK221" s="92">
        <f t="shared" si="120"/>
        <v>0.13229370468408333</v>
      </c>
      <c r="BL221" s="92">
        <f t="shared" si="114"/>
        <v>0.68104787662561861</v>
      </c>
      <c r="BM221" s="92">
        <f t="shared" si="121"/>
        <v>9.7222222222222224E-2</v>
      </c>
      <c r="BN221" s="92">
        <f t="shared" si="114"/>
        <v>0.70833333333333326</v>
      </c>
      <c r="BO221" s="92">
        <f t="shared" si="108"/>
        <v>6.9633058984910845E-2</v>
      </c>
      <c r="BP221" s="208">
        <f t="shared" si="114"/>
        <v>0.59705932784636473</v>
      </c>
      <c r="BQ221" s="92">
        <f t="shared" si="110"/>
        <v>6.7669172932330823E-2</v>
      </c>
      <c r="BR221" s="208">
        <f t="shared" si="114"/>
        <v>0.58834586466165417</v>
      </c>
      <c r="BS221" s="47"/>
      <c r="BT221" s="207">
        <f t="shared" si="122"/>
        <v>7.3289083320762366E-2</v>
      </c>
      <c r="BU221" s="207">
        <f t="shared" si="115"/>
        <v>0.67896113038668471</v>
      </c>
      <c r="BV221" s="207">
        <f t="shared" si="123"/>
        <v>7.3275862068965469E-2</v>
      </c>
      <c r="BW221" s="207">
        <f t="shared" si="116"/>
        <v>0.65517241379310343</v>
      </c>
      <c r="BX221" s="49"/>
      <c r="BY221" s="92">
        <f t="shared" si="117"/>
        <v>0</v>
      </c>
      <c r="BZ221" s="255"/>
      <c r="CA221" s="255"/>
      <c r="CB221" s="255"/>
      <c r="CC221" s="255"/>
      <c r="CD221" s="255"/>
      <c r="CE221" s="255"/>
      <c r="CF221" s="255"/>
      <c r="CG221" s="255"/>
      <c r="CH221" s="255"/>
      <c r="CI221" s="255"/>
      <c r="CJ221" s="255"/>
      <c r="CK221" s="255"/>
      <c r="CL221" s="255"/>
      <c r="CM221" s="255"/>
      <c r="CN221" s="255"/>
      <c r="CO221" s="255"/>
      <c r="CP221" s="255"/>
      <c r="CQ221" s="255"/>
      <c r="CR221" s="255"/>
    </row>
    <row r="222" spans="1:96" s="2" customFormat="1" x14ac:dyDescent="0.3">
      <c r="A222" s="255"/>
      <c r="B222" s="270"/>
      <c r="C222" s="255"/>
      <c r="D222" s="255"/>
      <c r="E222" s="286"/>
      <c r="F222" s="286"/>
      <c r="G222" s="286"/>
      <c r="H222" s="286"/>
      <c r="I222" s="286"/>
      <c r="J222" s="286"/>
      <c r="K222" s="286"/>
      <c r="L222" s="286"/>
      <c r="M222" s="277"/>
      <c r="N222" s="278"/>
      <c r="O222" s="279"/>
      <c r="P222" s="255"/>
      <c r="Q222" s="223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8"/>
      <c r="AE222" s="47"/>
      <c r="AF222" s="47"/>
      <c r="AG222" s="190">
        <f>MIN(AG217:AG221)</f>
        <v>0</v>
      </c>
      <c r="AH222" s="67"/>
      <c r="AI222" s="206">
        <f>MIN(AI217:AI221)</f>
        <v>0</v>
      </c>
      <c r="AJ222" s="67"/>
      <c r="AK222" s="47"/>
      <c r="AL222" s="67"/>
      <c r="AM222" s="67"/>
      <c r="AN222" s="67"/>
      <c r="AO222" s="47"/>
      <c r="AP222" s="47">
        <v>20</v>
      </c>
      <c r="AQ222" s="47"/>
      <c r="AR222" s="47"/>
      <c r="AS222" s="47"/>
      <c r="AT222" s="47"/>
      <c r="AU222" s="92">
        <f t="shared" si="100"/>
        <v>0.12268259924012173</v>
      </c>
      <c r="AV222" s="209">
        <f t="shared" si="101"/>
        <v>0.84825411596418077</v>
      </c>
      <c r="AW222" s="92">
        <f t="shared" si="102"/>
        <v>0.11855203619909505</v>
      </c>
      <c r="AX222" s="209">
        <f t="shared" si="103"/>
        <v>0.8515837104072399</v>
      </c>
      <c r="AY222" s="47"/>
      <c r="AZ222" s="47"/>
      <c r="BA222" s="47"/>
      <c r="BB222" s="47"/>
      <c r="BC222" s="92">
        <f t="shared" si="104"/>
        <v>7.4664221001294259E-2</v>
      </c>
      <c r="BD222" s="209">
        <f t="shared" si="112"/>
        <v>0.84322313553728923</v>
      </c>
      <c r="BE222" s="92">
        <f t="shared" si="106"/>
        <v>7.6354679802955669E-2</v>
      </c>
      <c r="BF222" s="209">
        <f t="shared" si="113"/>
        <v>0.85344827586206906</v>
      </c>
      <c r="BG222" s="92">
        <f t="shared" si="118"/>
        <v>0.14394516374714394</v>
      </c>
      <c r="BH222" s="207">
        <f t="shared" si="114"/>
        <v>0.79040365575019045</v>
      </c>
      <c r="BI222" s="92">
        <f t="shared" si="119"/>
        <v>0.14130434782608697</v>
      </c>
      <c r="BJ222" s="92">
        <f t="shared" si="114"/>
        <v>0.79710144927536253</v>
      </c>
      <c r="BK222" s="92">
        <f t="shared" si="120"/>
        <v>0.11065715272183221</v>
      </c>
      <c r="BL222" s="92">
        <f t="shared" si="114"/>
        <v>0.79170502934745079</v>
      </c>
      <c r="BM222" s="92">
        <f t="shared" si="121"/>
        <v>9.7222222222222224E-2</v>
      </c>
      <c r="BN222" s="92">
        <f t="shared" si="114"/>
        <v>0.80555555555555547</v>
      </c>
      <c r="BO222" s="92">
        <f t="shared" si="108"/>
        <v>5.8144718792866944E-2</v>
      </c>
      <c r="BP222" s="208">
        <f t="shared" si="114"/>
        <v>0.65520404663923171</v>
      </c>
      <c r="BQ222" s="92">
        <f t="shared" si="110"/>
        <v>7.3308270676691725E-2</v>
      </c>
      <c r="BR222" s="208">
        <f t="shared" si="114"/>
        <v>0.66165413533834594</v>
      </c>
      <c r="BS222" s="47"/>
      <c r="BT222" s="207">
        <f t="shared" si="122"/>
        <v>0.12661537687936833</v>
      </c>
      <c r="BU222" s="207">
        <f t="shared" si="115"/>
        <v>0.80557650726605301</v>
      </c>
      <c r="BV222" s="207">
        <f t="shared" si="123"/>
        <v>0.14224137931034481</v>
      </c>
      <c r="BW222" s="207">
        <f t="shared" si="116"/>
        <v>0.79741379310344818</v>
      </c>
      <c r="BX222" s="49"/>
      <c r="BY222" s="92">
        <f t="shared" si="117"/>
        <v>0</v>
      </c>
      <c r="BZ222" s="255"/>
      <c r="CA222" s="255"/>
      <c r="CB222" s="255"/>
      <c r="CC222" s="255"/>
      <c r="CD222" s="255"/>
      <c r="CE222" s="255"/>
      <c r="CF222" s="255"/>
      <c r="CG222" s="255"/>
      <c r="CH222" s="255"/>
      <c r="CI222" s="255"/>
      <c r="CJ222" s="255"/>
      <c r="CK222" s="255"/>
      <c r="CL222" s="255"/>
      <c r="CM222" s="255"/>
      <c r="CN222" s="255"/>
      <c r="CO222" s="255"/>
      <c r="CP222" s="255"/>
      <c r="CQ222" s="255"/>
      <c r="CR222" s="255"/>
    </row>
    <row r="223" spans="1:96" s="2" customFormat="1" x14ac:dyDescent="0.3">
      <c r="A223" s="255"/>
      <c r="B223" s="270"/>
      <c r="C223" s="255"/>
      <c r="D223" s="255"/>
      <c r="E223" s="286"/>
      <c r="F223" s="286"/>
      <c r="G223" s="286"/>
      <c r="H223" s="286"/>
      <c r="I223" s="286"/>
      <c r="J223" s="286"/>
      <c r="K223" s="286"/>
      <c r="L223" s="286"/>
      <c r="M223" s="277"/>
      <c r="N223" s="278"/>
      <c r="O223" s="279"/>
      <c r="P223" s="255"/>
      <c r="Q223" s="223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8"/>
      <c r="AE223" s="47"/>
      <c r="AF223" s="47"/>
      <c r="AG223" s="47"/>
      <c r="AH223" s="67"/>
      <c r="AI223" s="67"/>
      <c r="AJ223" s="67"/>
      <c r="AK223" s="47"/>
      <c r="AL223" s="67"/>
      <c r="AM223" s="67"/>
      <c r="AN223" s="67"/>
      <c r="AO223" s="47"/>
      <c r="AP223" s="47">
        <v>21</v>
      </c>
      <c r="AQ223" s="47"/>
      <c r="AR223" s="47"/>
      <c r="AS223" s="47"/>
      <c r="AT223" s="47"/>
      <c r="AU223" s="92">
        <f t="shared" si="100"/>
        <v>0.15174588403581929</v>
      </c>
      <c r="AV223" s="209">
        <f t="shared" si="101"/>
        <v>1</v>
      </c>
      <c r="AW223" s="92">
        <f t="shared" si="102"/>
        <v>0.14841628959276021</v>
      </c>
      <c r="AX223" s="209">
        <f t="shared" si="103"/>
        <v>1</v>
      </c>
      <c r="AY223" s="47"/>
      <c r="AZ223" s="47"/>
      <c r="BA223" s="47"/>
      <c r="BB223" s="47"/>
      <c r="BC223" s="92">
        <f t="shared" si="104"/>
        <v>0.15677686446271077</v>
      </c>
      <c r="BD223" s="209">
        <f t="shared" si="112"/>
        <v>1</v>
      </c>
      <c r="BE223" s="92">
        <f t="shared" si="106"/>
        <v>0.14655172413793105</v>
      </c>
      <c r="BF223" s="209">
        <f t="shared" si="113"/>
        <v>1</v>
      </c>
      <c r="BG223" s="92">
        <f t="shared" si="118"/>
        <v>0.20959634424980961</v>
      </c>
      <c r="BH223" s="207">
        <f t="shared" si="114"/>
        <v>1</v>
      </c>
      <c r="BI223" s="92">
        <f t="shared" si="119"/>
        <v>0.20289855072463769</v>
      </c>
      <c r="BJ223" s="92">
        <f t="shared" si="114"/>
        <v>1.0000000000000002</v>
      </c>
      <c r="BK223" s="92">
        <f t="shared" si="120"/>
        <v>0.20829497065254921</v>
      </c>
      <c r="BL223" s="92">
        <f t="shared" si="114"/>
        <v>1</v>
      </c>
      <c r="BM223" s="92">
        <f t="shared" si="121"/>
        <v>0.19444444444444445</v>
      </c>
      <c r="BN223" s="92">
        <f t="shared" si="114"/>
        <v>0.99999999999999989</v>
      </c>
      <c r="BO223" s="92">
        <f t="shared" si="108"/>
        <v>0.34479595336076813</v>
      </c>
      <c r="BP223" s="208">
        <f t="shared" si="114"/>
        <v>0.99999999999999978</v>
      </c>
      <c r="BQ223" s="92">
        <f t="shared" si="110"/>
        <v>0.33834586466165412</v>
      </c>
      <c r="BR223" s="208">
        <f t="shared" si="114"/>
        <v>1</v>
      </c>
      <c r="BS223" s="47"/>
      <c r="BT223" s="207">
        <f t="shared" si="122"/>
        <v>0.19442349273394688</v>
      </c>
      <c r="BU223" s="207">
        <f t="shared" si="115"/>
        <v>0.99999999999999989</v>
      </c>
      <c r="BV223" s="207">
        <f t="shared" si="123"/>
        <v>0.20258620689655177</v>
      </c>
      <c r="BW223" s="207">
        <f t="shared" si="116"/>
        <v>1</v>
      </c>
      <c r="BX223" s="49"/>
      <c r="BY223" s="92">
        <f t="shared" si="117"/>
        <v>0</v>
      </c>
      <c r="BZ223" s="255"/>
      <c r="CA223" s="255"/>
      <c r="CB223" s="255"/>
      <c r="CC223" s="255"/>
      <c r="CD223" s="255"/>
      <c r="CE223" s="255"/>
      <c r="CF223" s="255"/>
      <c r="CG223" s="255"/>
      <c r="CH223" s="255"/>
      <c r="CI223" s="255"/>
      <c r="CJ223" s="255"/>
      <c r="CK223" s="255"/>
      <c r="CL223" s="255"/>
      <c r="CM223" s="255"/>
      <c r="CN223" s="255"/>
      <c r="CO223" s="255"/>
      <c r="CP223" s="255"/>
      <c r="CQ223" s="255"/>
      <c r="CR223" s="255"/>
    </row>
    <row r="224" spans="1:96" s="2" customFormat="1" x14ac:dyDescent="0.3">
      <c r="A224" s="255"/>
      <c r="B224" s="270"/>
      <c r="C224" s="255"/>
      <c r="D224" s="255"/>
      <c r="E224" s="286"/>
      <c r="F224" s="286"/>
      <c r="G224" s="286"/>
      <c r="H224" s="286"/>
      <c r="I224" s="286"/>
      <c r="J224" s="286"/>
      <c r="K224" s="286"/>
      <c r="L224" s="286"/>
      <c r="M224" s="277"/>
      <c r="N224" s="278"/>
      <c r="O224" s="279"/>
      <c r="P224" s="255"/>
      <c r="Q224" s="223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8"/>
      <c r="AE224" s="47"/>
      <c r="AF224" s="47"/>
      <c r="AG224" s="47"/>
      <c r="AH224" s="67"/>
      <c r="AI224" s="67"/>
      <c r="AJ224" s="67"/>
      <c r="AK224" s="47"/>
      <c r="AL224" s="67"/>
      <c r="AM224" s="67"/>
      <c r="AN224" s="67"/>
      <c r="AO224" s="47"/>
      <c r="AP224" s="47"/>
      <c r="AQ224" s="47"/>
      <c r="AR224" s="47"/>
      <c r="AS224" s="47"/>
      <c r="AT224" s="47"/>
      <c r="AU224" s="92">
        <f>SUM(AU209:AU211)</f>
        <v>0.17321076192763843</v>
      </c>
      <c r="AV224" s="384"/>
      <c r="AW224" s="92">
        <f>SUM(AW209:AW211)</f>
        <v>0.18009049773755659</v>
      </c>
      <c r="AX224" s="385"/>
      <c r="AY224" s="47"/>
      <c r="AZ224" s="47"/>
      <c r="BA224" s="47"/>
      <c r="BB224" s="47"/>
      <c r="BC224" s="92">
        <f>SUM(BC209:BC211)</f>
        <v>0.19755890596473785</v>
      </c>
      <c r="BD224" s="384"/>
      <c r="BE224" s="92">
        <f>SUM(BE209:BE211)</f>
        <v>0.19581280788177344</v>
      </c>
      <c r="BF224" s="385"/>
      <c r="BG224" s="92">
        <f>SUM(BG209:BG211)</f>
        <v>0.16165270373191165</v>
      </c>
      <c r="BH224" s="47"/>
      <c r="BI224" s="92">
        <f>SUM(BI209:BI211)</f>
        <v>0.17028985507246377</v>
      </c>
      <c r="BJ224" s="48"/>
      <c r="BK224" s="92">
        <f>SUM(BK209:BK211)</f>
        <v>0.13624985613994708</v>
      </c>
      <c r="BL224" s="47"/>
      <c r="BM224" s="92">
        <f>SUM(BM209:BM211)</f>
        <v>0.15555555555555556</v>
      </c>
      <c r="BN224" s="48"/>
      <c r="BO224" s="92">
        <f>SUM(BO209:BO211)</f>
        <v>9.815672153635116E-2</v>
      </c>
      <c r="BP224" s="47"/>
      <c r="BQ224" s="92">
        <f>SUM(BQ209:BQ211)</f>
        <v>0.10338345864661654</v>
      </c>
      <c r="BR224" s="48"/>
      <c r="BS224" s="47"/>
      <c r="BT224" s="207">
        <f>SUM(BT209:BT211)</f>
        <v>0.13317745260723088</v>
      </c>
      <c r="BU224" s="188"/>
      <c r="BV224" s="207">
        <f>SUM(BV209:BV211)</f>
        <v>0.11637931034482762</v>
      </c>
      <c r="BW224" s="383"/>
      <c r="BX224" s="49"/>
      <c r="BY224" s="47"/>
      <c r="BZ224" s="255"/>
      <c r="CA224" s="255"/>
      <c r="CB224" s="255"/>
      <c r="CC224" s="255"/>
      <c r="CD224" s="255"/>
      <c r="CE224" s="255"/>
      <c r="CF224" s="255"/>
      <c r="CG224" s="255"/>
      <c r="CH224" s="255"/>
      <c r="CI224" s="255"/>
      <c r="CJ224" s="255"/>
      <c r="CK224" s="255"/>
      <c r="CL224" s="255"/>
      <c r="CM224" s="255"/>
      <c r="CN224" s="255"/>
      <c r="CO224" s="255"/>
      <c r="CP224" s="255"/>
      <c r="CQ224" s="255"/>
      <c r="CR224" s="255"/>
    </row>
    <row r="225" spans="1:96" s="2" customFormat="1" x14ac:dyDescent="0.3">
      <c r="A225" s="255"/>
      <c r="B225" s="270"/>
      <c r="C225" s="255"/>
      <c r="D225" s="255"/>
      <c r="E225" s="286"/>
      <c r="F225" s="286"/>
      <c r="G225" s="286"/>
      <c r="H225" s="286"/>
      <c r="I225" s="286"/>
      <c r="J225" s="286"/>
      <c r="K225" s="286"/>
      <c r="L225" s="286"/>
      <c r="M225" s="277"/>
      <c r="N225" s="278"/>
      <c r="O225" s="279"/>
      <c r="P225" s="255"/>
      <c r="Q225" s="223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8"/>
      <c r="AE225" s="47"/>
      <c r="AF225" s="47"/>
      <c r="AG225" s="47"/>
      <c r="AH225" s="67"/>
      <c r="AI225" s="67"/>
      <c r="AJ225" s="67"/>
      <c r="AK225" s="47"/>
      <c r="AL225" s="67"/>
      <c r="AM225" s="67"/>
      <c r="AN225" s="67"/>
      <c r="AO225" s="47"/>
      <c r="AP225" s="47"/>
      <c r="AQ225" s="47"/>
      <c r="AR225" s="47"/>
      <c r="AS225" s="47"/>
      <c r="AT225" s="47"/>
      <c r="AU225" s="47"/>
      <c r="AV225" s="384"/>
      <c r="AW225" s="48"/>
      <c r="AX225" s="385"/>
      <c r="AY225" s="47"/>
      <c r="AZ225" s="47"/>
      <c r="BA225" s="47"/>
      <c r="BB225" s="47"/>
      <c r="BC225" s="47"/>
      <c r="BD225" s="384"/>
      <c r="BE225" s="48"/>
      <c r="BF225" s="385"/>
      <c r="BG225" s="47"/>
      <c r="BH225" s="47"/>
      <c r="BI225" s="48"/>
      <c r="BJ225" s="48"/>
      <c r="BK225" s="47"/>
      <c r="BL225" s="47"/>
      <c r="BM225" s="48"/>
      <c r="BN225" s="48"/>
      <c r="BO225" s="47"/>
      <c r="BP225" s="47"/>
      <c r="BQ225" s="48"/>
      <c r="BR225" s="48"/>
      <c r="BS225" s="47"/>
      <c r="BT225" s="47"/>
      <c r="BU225" s="47"/>
      <c r="BV225" s="48"/>
      <c r="BW225" s="48"/>
      <c r="BX225" s="49"/>
      <c r="BY225" s="47"/>
      <c r="BZ225" s="255"/>
      <c r="CA225" s="255"/>
      <c r="CB225" s="255"/>
      <c r="CC225" s="255"/>
      <c r="CD225" s="255"/>
      <c r="CE225" s="255"/>
      <c r="CF225" s="255"/>
      <c r="CG225" s="255"/>
      <c r="CH225" s="255"/>
      <c r="CI225" s="255"/>
      <c r="CJ225" s="255"/>
      <c r="CK225" s="255"/>
      <c r="CL225" s="255"/>
      <c r="CM225" s="255"/>
      <c r="CN225" s="255"/>
      <c r="CO225" s="255"/>
      <c r="CP225" s="255"/>
      <c r="CQ225" s="255"/>
      <c r="CR225" s="255"/>
    </row>
    <row r="226" spans="1:96" s="2" customFormat="1" x14ac:dyDescent="0.3">
      <c r="A226" s="255"/>
      <c r="B226" s="270"/>
      <c r="C226" s="255"/>
      <c r="D226" s="255"/>
      <c r="E226" s="286"/>
      <c r="F226" s="286"/>
      <c r="G226" s="286"/>
      <c r="H226" s="286"/>
      <c r="I226" s="286"/>
      <c r="J226" s="286"/>
      <c r="K226" s="286"/>
      <c r="L226" s="286"/>
      <c r="M226" s="277"/>
      <c r="N226" s="278"/>
      <c r="O226" s="279"/>
      <c r="P226" s="255"/>
      <c r="Q226" s="223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8"/>
      <c r="AE226" s="47"/>
      <c r="AF226" s="47"/>
      <c r="AG226" s="47"/>
      <c r="AH226" s="67"/>
      <c r="AI226" s="67"/>
      <c r="AJ226" s="67"/>
      <c r="AK226" s="47"/>
      <c r="AL226" s="67"/>
      <c r="AM226" s="67"/>
      <c r="AN226" s="6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8"/>
      <c r="BJ226" s="48"/>
      <c r="BK226" s="47"/>
      <c r="BL226" s="47"/>
      <c r="BM226" s="48"/>
      <c r="BN226" s="48"/>
      <c r="BO226" s="47"/>
      <c r="BP226" s="47"/>
      <c r="BQ226" s="48"/>
      <c r="BR226" s="48"/>
      <c r="BS226" s="47"/>
      <c r="BT226" s="47"/>
      <c r="BU226" s="47"/>
      <c r="BV226" s="48"/>
      <c r="BW226" s="48"/>
      <c r="BX226" s="49"/>
      <c r="BY226" s="47"/>
      <c r="BZ226" s="255"/>
      <c r="CA226" s="255"/>
      <c r="CB226" s="255"/>
      <c r="CC226" s="255"/>
      <c r="CD226" s="255"/>
      <c r="CE226" s="255"/>
      <c r="CF226" s="255"/>
      <c r="CG226" s="255"/>
      <c r="CH226" s="255"/>
      <c r="CI226" s="255"/>
      <c r="CJ226" s="255"/>
      <c r="CK226" s="255"/>
      <c r="CL226" s="255"/>
      <c r="CM226" s="255"/>
      <c r="CN226" s="255"/>
      <c r="CO226" s="255"/>
      <c r="CP226" s="255"/>
      <c r="CQ226" s="255"/>
      <c r="CR226" s="255"/>
    </row>
    <row r="227" spans="1:96" s="2" customFormat="1" x14ac:dyDescent="0.3">
      <c r="A227" s="255"/>
      <c r="B227" s="270"/>
      <c r="C227" s="255"/>
      <c r="D227" s="255"/>
      <c r="E227" s="286"/>
      <c r="F227" s="286"/>
      <c r="G227" s="286"/>
      <c r="H227" s="286"/>
      <c r="I227" s="286"/>
      <c r="J227" s="286"/>
      <c r="K227" s="286"/>
      <c r="L227" s="286"/>
      <c r="M227" s="277"/>
      <c r="N227" s="278"/>
      <c r="O227" s="279"/>
      <c r="P227" s="255"/>
      <c r="Q227" s="223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8"/>
      <c r="AE227" s="47"/>
      <c r="AF227" s="47"/>
      <c r="AG227" s="47"/>
      <c r="AH227" s="67"/>
      <c r="AI227" s="67"/>
      <c r="AJ227" s="67"/>
      <c r="AK227" s="47"/>
      <c r="AL227" s="67"/>
      <c r="AM227" s="67"/>
      <c r="AN227" s="6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8"/>
      <c r="BJ227" s="48"/>
      <c r="BK227" s="47"/>
      <c r="BL227" s="47"/>
      <c r="BM227" s="48"/>
      <c r="BN227" s="48"/>
      <c r="BO227" s="47"/>
      <c r="BP227" s="47"/>
      <c r="BQ227" s="48"/>
      <c r="BR227" s="48"/>
      <c r="BS227" s="47"/>
      <c r="BT227" s="47"/>
      <c r="BU227" s="47"/>
      <c r="BV227" s="48"/>
      <c r="BW227" s="48"/>
      <c r="BX227" s="49"/>
      <c r="BY227" s="47"/>
      <c r="BZ227" s="255"/>
      <c r="CA227" s="255"/>
      <c r="CB227" s="255"/>
      <c r="CC227" s="255"/>
      <c r="CD227" s="255"/>
      <c r="CE227" s="255"/>
      <c r="CF227" s="255"/>
      <c r="CG227" s="255"/>
      <c r="CH227" s="255"/>
      <c r="CI227" s="255"/>
      <c r="CJ227" s="255"/>
      <c r="CK227" s="255"/>
      <c r="CL227" s="255"/>
      <c r="CM227" s="255"/>
      <c r="CN227" s="255"/>
      <c r="CO227" s="255"/>
      <c r="CP227" s="255"/>
      <c r="CQ227" s="255"/>
      <c r="CR227" s="255"/>
    </row>
    <row r="228" spans="1:96" s="2" customFormat="1" x14ac:dyDescent="0.3">
      <c r="A228" s="255"/>
      <c r="B228" s="270"/>
      <c r="C228" s="255"/>
      <c r="D228" s="255"/>
      <c r="E228" s="286"/>
      <c r="F228" s="286"/>
      <c r="G228" s="286"/>
      <c r="H228" s="286"/>
      <c r="I228" s="286"/>
      <c r="J228" s="286"/>
      <c r="K228" s="286"/>
      <c r="L228" s="286"/>
      <c r="M228" s="277"/>
      <c r="N228" s="278"/>
      <c r="O228" s="279"/>
      <c r="P228" s="255"/>
      <c r="Q228" s="223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8"/>
      <c r="AE228" s="47"/>
      <c r="AF228" s="47"/>
      <c r="AG228" s="47"/>
      <c r="AH228" s="67"/>
      <c r="AI228" s="67"/>
      <c r="AJ228" s="67"/>
      <c r="AK228" s="47"/>
      <c r="AL228" s="67"/>
      <c r="AM228" s="67"/>
      <c r="AN228" s="6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8"/>
      <c r="BJ228" s="48"/>
      <c r="BK228" s="47"/>
      <c r="BL228" s="47"/>
      <c r="BM228" s="48"/>
      <c r="BN228" s="48"/>
      <c r="BO228" s="47"/>
      <c r="BP228" s="47"/>
      <c r="BQ228" s="48"/>
      <c r="BR228" s="48"/>
      <c r="BS228" s="47"/>
      <c r="BT228" s="47"/>
      <c r="BU228" s="47"/>
      <c r="BV228" s="48"/>
      <c r="BW228" s="48"/>
      <c r="BX228" s="49"/>
      <c r="BY228" s="47"/>
      <c r="BZ228" s="255"/>
      <c r="CA228" s="255"/>
      <c r="CB228" s="255"/>
      <c r="CC228" s="255"/>
      <c r="CD228" s="255"/>
      <c r="CE228" s="255"/>
      <c r="CF228" s="255"/>
      <c r="CG228" s="255"/>
      <c r="CH228" s="255"/>
      <c r="CI228" s="255"/>
      <c r="CJ228" s="255"/>
      <c r="CK228" s="255"/>
      <c r="CL228" s="255"/>
      <c r="CM228" s="255"/>
      <c r="CN228" s="255"/>
      <c r="CO228" s="255"/>
      <c r="CP228" s="255"/>
      <c r="CQ228" s="255"/>
      <c r="CR228" s="255"/>
    </row>
    <row r="229" spans="1:96" s="2" customFormat="1" x14ac:dyDescent="0.3">
      <c r="A229" s="255"/>
      <c r="B229" s="270"/>
      <c r="C229" s="255"/>
      <c r="D229" s="255"/>
      <c r="E229" s="286"/>
      <c r="F229" s="286"/>
      <c r="G229" s="286"/>
      <c r="H229" s="286"/>
      <c r="I229" s="286"/>
      <c r="J229" s="286"/>
      <c r="K229" s="286"/>
      <c r="L229" s="286"/>
      <c r="M229" s="277"/>
      <c r="N229" s="278"/>
      <c r="O229" s="279"/>
      <c r="P229" s="255"/>
      <c r="Q229" s="223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8"/>
      <c r="AE229" s="47"/>
      <c r="AF229" s="47"/>
      <c r="AG229" s="47"/>
      <c r="AH229" s="67"/>
      <c r="AI229" s="67"/>
      <c r="AJ229" s="67"/>
      <c r="AK229" s="47"/>
      <c r="AL229" s="67"/>
      <c r="AM229" s="67"/>
      <c r="AN229" s="6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8"/>
      <c r="BJ229" s="48"/>
      <c r="BK229" s="47"/>
      <c r="BL229" s="47"/>
      <c r="BM229" s="48"/>
      <c r="BN229" s="48"/>
      <c r="BO229" s="47"/>
      <c r="BP229" s="47"/>
      <c r="BQ229" s="48"/>
      <c r="BR229" s="48"/>
      <c r="BS229" s="47"/>
      <c r="BT229" s="47"/>
      <c r="BU229" s="47"/>
      <c r="BV229" s="48"/>
      <c r="BW229" s="48"/>
      <c r="BX229" s="49"/>
      <c r="BY229" s="47"/>
      <c r="BZ229" s="255"/>
      <c r="CA229" s="255"/>
      <c r="CB229" s="255"/>
      <c r="CC229" s="255"/>
      <c r="CD229" s="255"/>
      <c r="CE229" s="255"/>
      <c r="CF229" s="255"/>
      <c r="CG229" s="255"/>
      <c r="CH229" s="255"/>
      <c r="CI229" s="255"/>
      <c r="CJ229" s="255"/>
      <c r="CK229" s="255"/>
      <c r="CL229" s="255"/>
      <c r="CM229" s="255"/>
      <c r="CN229" s="255"/>
      <c r="CO229" s="255"/>
      <c r="CP229" s="255"/>
      <c r="CQ229" s="255"/>
      <c r="CR229" s="255"/>
    </row>
    <row r="230" spans="1:96" s="2" customFormat="1" x14ac:dyDescent="0.3">
      <c r="A230" s="255"/>
      <c r="B230" s="270"/>
      <c r="C230" s="255"/>
      <c r="D230" s="255"/>
      <c r="E230" s="286"/>
      <c r="F230" s="286"/>
      <c r="G230" s="286"/>
      <c r="H230" s="286"/>
      <c r="I230" s="286"/>
      <c r="J230" s="286"/>
      <c r="K230" s="286"/>
      <c r="L230" s="286"/>
      <c r="M230" s="277"/>
      <c r="N230" s="278"/>
      <c r="O230" s="279"/>
      <c r="P230" s="255"/>
      <c r="Q230" s="223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8"/>
      <c r="AE230" s="47"/>
      <c r="AF230" s="47"/>
      <c r="AG230" s="47"/>
      <c r="AH230" s="67"/>
      <c r="AI230" s="67"/>
      <c r="AJ230" s="67"/>
      <c r="AK230" s="47"/>
      <c r="AL230" s="67"/>
      <c r="AM230" s="67"/>
      <c r="AN230" s="6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8"/>
      <c r="BJ230" s="48"/>
      <c r="BK230" s="47"/>
      <c r="BL230" s="47"/>
      <c r="BM230" s="48"/>
      <c r="BN230" s="48"/>
      <c r="BO230" s="47"/>
      <c r="BP230" s="47"/>
      <c r="BQ230" s="48"/>
      <c r="BR230" s="48"/>
      <c r="BS230" s="47"/>
      <c r="BT230" s="47"/>
      <c r="BU230" s="47"/>
      <c r="BV230" s="48"/>
      <c r="BW230" s="48"/>
      <c r="BX230" s="49"/>
      <c r="BY230" s="47"/>
      <c r="BZ230" s="255"/>
      <c r="CA230" s="255"/>
      <c r="CB230" s="255"/>
      <c r="CC230" s="255"/>
      <c r="CD230" s="255"/>
      <c r="CE230" s="255"/>
      <c r="CF230" s="255"/>
      <c r="CG230" s="255"/>
      <c r="CH230" s="255"/>
      <c r="CI230" s="255"/>
      <c r="CJ230" s="255"/>
      <c r="CK230" s="255"/>
      <c r="CL230" s="255"/>
      <c r="CM230" s="255"/>
      <c r="CN230" s="255"/>
      <c r="CO230" s="255"/>
      <c r="CP230" s="255"/>
      <c r="CQ230" s="255"/>
      <c r="CR230" s="255"/>
    </row>
    <row r="231" spans="1:96" s="2" customFormat="1" x14ac:dyDescent="0.3">
      <c r="A231" s="255"/>
      <c r="B231" s="270"/>
      <c r="C231" s="255"/>
      <c r="D231" s="255"/>
      <c r="E231" s="286"/>
      <c r="F231" s="286"/>
      <c r="G231" s="286"/>
      <c r="H231" s="286"/>
      <c r="I231" s="286"/>
      <c r="J231" s="286"/>
      <c r="K231" s="286"/>
      <c r="L231" s="286"/>
      <c r="M231" s="277"/>
      <c r="N231" s="278"/>
      <c r="O231" s="279"/>
      <c r="P231" s="255"/>
      <c r="Q231" s="223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8"/>
      <c r="AE231" s="47"/>
      <c r="AF231" s="47"/>
      <c r="AG231" s="47"/>
      <c r="AH231" s="67"/>
      <c r="AI231" s="67"/>
      <c r="AJ231" s="67"/>
      <c r="AK231" s="47"/>
      <c r="AL231" s="67"/>
      <c r="AM231" s="67"/>
      <c r="AN231" s="6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8"/>
      <c r="BJ231" s="48"/>
      <c r="BK231" s="47"/>
      <c r="BL231" s="47"/>
      <c r="BM231" s="48"/>
      <c r="BN231" s="48"/>
      <c r="BO231" s="47"/>
      <c r="BP231" s="47"/>
      <c r="BQ231" s="48"/>
      <c r="BR231" s="48"/>
      <c r="BS231" s="47"/>
      <c r="BT231" s="47"/>
      <c r="BU231" s="47"/>
      <c r="BV231" s="48"/>
      <c r="BW231" s="48"/>
      <c r="BX231" s="49"/>
      <c r="BY231" s="47"/>
      <c r="BZ231" s="255"/>
      <c r="CA231" s="255"/>
      <c r="CB231" s="255"/>
      <c r="CC231" s="255"/>
      <c r="CD231" s="255"/>
      <c r="CE231" s="255"/>
      <c r="CF231" s="255"/>
      <c r="CG231" s="255"/>
      <c r="CH231" s="255"/>
      <c r="CI231" s="255"/>
      <c r="CJ231" s="255"/>
      <c r="CK231" s="255"/>
      <c r="CL231" s="255"/>
      <c r="CM231" s="255"/>
      <c r="CN231" s="255"/>
      <c r="CO231" s="255"/>
      <c r="CP231" s="255"/>
      <c r="CQ231" s="255"/>
      <c r="CR231" s="255"/>
    </row>
    <row r="232" spans="1:96" s="2" customFormat="1" x14ac:dyDescent="0.3">
      <c r="A232" s="255"/>
      <c r="B232" s="270"/>
      <c r="C232" s="255"/>
      <c r="D232" s="255"/>
      <c r="E232" s="286"/>
      <c r="F232" s="286"/>
      <c r="G232" s="286"/>
      <c r="H232" s="286"/>
      <c r="I232" s="286"/>
      <c r="J232" s="286"/>
      <c r="K232" s="286"/>
      <c r="L232" s="286"/>
      <c r="M232" s="277"/>
      <c r="N232" s="278"/>
      <c r="O232" s="279"/>
      <c r="P232" s="255"/>
      <c r="Q232" s="223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8"/>
      <c r="AE232" s="47"/>
      <c r="AF232" s="47"/>
      <c r="AG232" s="47"/>
      <c r="AH232" s="67"/>
      <c r="AI232" s="67"/>
      <c r="AJ232" s="67"/>
      <c r="AK232" s="47"/>
      <c r="AL232" s="67"/>
      <c r="AM232" s="67"/>
      <c r="AN232" s="6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8"/>
      <c r="BJ232" s="48"/>
      <c r="BK232" s="47"/>
      <c r="BL232" s="47"/>
      <c r="BM232" s="48"/>
      <c r="BN232" s="48"/>
      <c r="BO232" s="47"/>
      <c r="BP232" s="47"/>
      <c r="BQ232" s="48"/>
      <c r="BR232" s="48"/>
      <c r="BS232" s="47"/>
      <c r="BT232" s="47"/>
      <c r="BU232" s="47"/>
      <c r="BV232" s="48"/>
      <c r="BW232" s="48"/>
      <c r="BX232" s="49"/>
      <c r="BY232" s="47"/>
      <c r="BZ232" s="255"/>
      <c r="CA232" s="255"/>
      <c r="CB232" s="255"/>
      <c r="CC232" s="255"/>
      <c r="CD232" s="255"/>
      <c r="CE232" s="255"/>
      <c r="CF232" s="255"/>
      <c r="CG232" s="255"/>
      <c r="CH232" s="255"/>
      <c r="CI232" s="255"/>
      <c r="CJ232" s="255"/>
      <c r="CK232" s="255"/>
      <c r="CL232" s="255"/>
      <c r="CM232" s="255"/>
      <c r="CN232" s="255"/>
      <c r="CO232" s="255"/>
      <c r="CP232" s="255"/>
      <c r="CQ232" s="255"/>
      <c r="CR232" s="255"/>
    </row>
    <row r="233" spans="1:96" s="2" customFormat="1" x14ac:dyDescent="0.3">
      <c r="A233" s="255"/>
      <c r="B233" s="270"/>
      <c r="C233" s="255"/>
      <c r="D233" s="255"/>
      <c r="E233" s="286"/>
      <c r="F233" s="286"/>
      <c r="G233" s="286"/>
      <c r="H233" s="286"/>
      <c r="I233" s="286"/>
      <c r="J233" s="286"/>
      <c r="K233" s="286"/>
      <c r="L233" s="286"/>
      <c r="M233" s="277"/>
      <c r="N233" s="278"/>
      <c r="O233" s="279"/>
      <c r="P233" s="255"/>
      <c r="Q233" s="223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8"/>
      <c r="AE233" s="47"/>
      <c r="AF233" s="47"/>
      <c r="AG233" s="47"/>
      <c r="AH233" s="67"/>
      <c r="AI233" s="67"/>
      <c r="AJ233" s="67"/>
      <c r="AK233" s="47"/>
      <c r="AL233" s="67"/>
      <c r="AM233" s="67"/>
      <c r="AN233" s="6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8"/>
      <c r="BJ233" s="48"/>
      <c r="BK233" s="47"/>
      <c r="BL233" s="47"/>
      <c r="BM233" s="48"/>
      <c r="BN233" s="48"/>
      <c r="BO233" s="47"/>
      <c r="BP233" s="47"/>
      <c r="BQ233" s="48"/>
      <c r="BR233" s="48"/>
      <c r="BS233" s="47"/>
      <c r="BT233" s="47"/>
      <c r="BU233" s="47"/>
      <c r="BV233" s="48"/>
      <c r="BW233" s="48"/>
      <c r="BX233" s="49"/>
      <c r="BY233" s="47"/>
      <c r="BZ233" s="255"/>
      <c r="CA233" s="255"/>
      <c r="CB233" s="255"/>
      <c r="CC233" s="255"/>
      <c r="CD233" s="255"/>
      <c r="CE233" s="255"/>
      <c r="CF233" s="255"/>
      <c r="CG233" s="255"/>
      <c r="CH233" s="255"/>
      <c r="CI233" s="255"/>
      <c r="CJ233" s="255"/>
      <c r="CK233" s="255"/>
      <c r="CL233" s="255"/>
      <c r="CM233" s="255"/>
      <c r="CN233" s="255"/>
      <c r="CO233" s="255"/>
      <c r="CP233" s="255"/>
      <c r="CQ233" s="255"/>
      <c r="CR233" s="255"/>
    </row>
    <row r="234" spans="1:96" s="2" customFormat="1" x14ac:dyDescent="0.3">
      <c r="A234" s="255"/>
      <c r="B234" s="270"/>
      <c r="C234" s="255"/>
      <c r="D234" s="255"/>
      <c r="E234" s="286"/>
      <c r="F234" s="286"/>
      <c r="G234" s="286"/>
      <c r="H234" s="286"/>
      <c r="I234" s="286"/>
      <c r="J234" s="286"/>
      <c r="K234" s="286"/>
      <c r="L234" s="286"/>
      <c r="M234" s="277"/>
      <c r="N234" s="278"/>
      <c r="O234" s="279"/>
      <c r="P234" s="255"/>
      <c r="Q234" s="223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8"/>
      <c r="AE234" s="47"/>
      <c r="AF234" s="47"/>
      <c r="AG234" s="47"/>
      <c r="AH234" s="67"/>
      <c r="AI234" s="67"/>
      <c r="AJ234" s="67"/>
      <c r="AK234" s="47"/>
      <c r="AL234" s="67"/>
      <c r="AM234" s="67"/>
      <c r="AN234" s="6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8"/>
      <c r="BJ234" s="48"/>
      <c r="BK234" s="47"/>
      <c r="BL234" s="47"/>
      <c r="BM234" s="48"/>
      <c r="BN234" s="48"/>
      <c r="BO234" s="47"/>
      <c r="BP234" s="47"/>
      <c r="BQ234" s="48"/>
      <c r="BR234" s="48"/>
      <c r="BS234" s="47"/>
      <c r="BT234" s="47"/>
      <c r="BU234" s="47"/>
      <c r="BV234" s="48"/>
      <c r="BW234" s="48"/>
      <c r="BX234" s="49"/>
      <c r="BY234" s="47"/>
      <c r="BZ234" s="255"/>
      <c r="CA234" s="255"/>
      <c r="CB234" s="255"/>
      <c r="CC234" s="255"/>
      <c r="CD234" s="255"/>
      <c r="CE234" s="255"/>
      <c r="CF234" s="255"/>
      <c r="CG234" s="255"/>
      <c r="CH234" s="255"/>
      <c r="CI234" s="255"/>
      <c r="CJ234" s="255"/>
      <c r="CK234" s="255"/>
      <c r="CL234" s="255"/>
      <c r="CM234" s="255"/>
      <c r="CN234" s="255"/>
      <c r="CO234" s="255"/>
      <c r="CP234" s="255"/>
      <c r="CQ234" s="255"/>
      <c r="CR234" s="255"/>
    </row>
    <row r="235" spans="1:96" s="2" customFormat="1" x14ac:dyDescent="0.3">
      <c r="A235" s="255"/>
      <c r="B235" s="270"/>
      <c r="C235" s="255"/>
      <c r="D235" s="255"/>
      <c r="E235" s="286"/>
      <c r="F235" s="286"/>
      <c r="G235" s="286"/>
      <c r="H235" s="286"/>
      <c r="I235" s="286"/>
      <c r="J235" s="286"/>
      <c r="K235" s="286"/>
      <c r="L235" s="286"/>
      <c r="M235" s="277"/>
      <c r="N235" s="278"/>
      <c r="O235" s="279"/>
      <c r="P235" s="255"/>
      <c r="Q235" s="223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8"/>
      <c r="AE235" s="47"/>
      <c r="AF235" s="47"/>
      <c r="AG235" s="47"/>
      <c r="AH235" s="67"/>
      <c r="AI235" s="67"/>
      <c r="AJ235" s="67"/>
      <c r="AK235" s="47"/>
      <c r="AL235" s="67"/>
      <c r="AM235" s="67"/>
      <c r="AN235" s="6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8"/>
      <c r="BJ235" s="48"/>
      <c r="BK235" s="47"/>
      <c r="BL235" s="47"/>
      <c r="BM235" s="48"/>
      <c r="BN235" s="48"/>
      <c r="BO235" s="47"/>
      <c r="BP235" s="47"/>
      <c r="BQ235" s="48"/>
      <c r="BR235" s="48"/>
      <c r="BS235" s="47"/>
      <c r="BT235" s="47"/>
      <c r="BU235" s="47"/>
      <c r="BV235" s="48"/>
      <c r="BW235" s="48"/>
      <c r="BX235" s="49"/>
      <c r="BY235" s="47"/>
      <c r="BZ235" s="255"/>
      <c r="CA235" s="255"/>
      <c r="CB235" s="255"/>
      <c r="CC235" s="255"/>
      <c r="CD235" s="255"/>
      <c r="CE235" s="255"/>
      <c r="CF235" s="255"/>
      <c r="CG235" s="255"/>
      <c r="CH235" s="255"/>
      <c r="CI235" s="255"/>
      <c r="CJ235" s="255"/>
      <c r="CK235" s="255"/>
      <c r="CL235" s="255"/>
      <c r="CM235" s="255"/>
      <c r="CN235" s="255"/>
      <c r="CO235" s="255"/>
      <c r="CP235" s="255"/>
      <c r="CQ235" s="255"/>
      <c r="CR235" s="255"/>
    </row>
    <row r="236" spans="1:96" s="2" customFormat="1" x14ac:dyDescent="0.3">
      <c r="A236" s="255"/>
      <c r="B236" s="270"/>
      <c r="C236" s="255"/>
      <c r="D236" s="255"/>
      <c r="E236" s="286"/>
      <c r="F236" s="286"/>
      <c r="G236" s="286"/>
      <c r="H236" s="286"/>
      <c r="I236" s="286"/>
      <c r="J236" s="286"/>
      <c r="K236" s="286"/>
      <c r="L236" s="286"/>
      <c r="M236" s="277"/>
      <c r="N236" s="278"/>
      <c r="O236" s="279"/>
      <c r="P236" s="255"/>
      <c r="Q236" s="223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8"/>
      <c r="AE236" s="47"/>
      <c r="AF236" s="47"/>
      <c r="AG236" s="47"/>
      <c r="AH236" s="67"/>
      <c r="AI236" s="67"/>
      <c r="AJ236" s="67"/>
      <c r="AK236" s="47"/>
      <c r="AL236" s="67"/>
      <c r="AM236" s="67"/>
      <c r="AN236" s="6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8"/>
      <c r="BJ236" s="48"/>
      <c r="BK236" s="47"/>
      <c r="BL236" s="47"/>
      <c r="BM236" s="48"/>
      <c r="BN236" s="48"/>
      <c r="BO236" s="47"/>
      <c r="BP236" s="47"/>
      <c r="BQ236" s="48"/>
      <c r="BR236" s="48"/>
      <c r="BS236" s="47"/>
      <c r="BT236" s="47"/>
      <c r="BU236" s="47"/>
      <c r="BV236" s="48"/>
      <c r="BW236" s="48"/>
      <c r="BX236" s="49"/>
      <c r="BY236" s="47"/>
      <c r="BZ236" s="255"/>
      <c r="CA236" s="255"/>
      <c r="CB236" s="255"/>
      <c r="CC236" s="255"/>
      <c r="CD236" s="255"/>
      <c r="CE236" s="255"/>
      <c r="CF236" s="255"/>
      <c r="CG236" s="255"/>
      <c r="CH236" s="255"/>
      <c r="CI236" s="255"/>
      <c r="CJ236" s="255"/>
      <c r="CK236" s="255"/>
      <c r="CL236" s="255"/>
      <c r="CM236" s="255"/>
      <c r="CN236" s="255"/>
      <c r="CO236" s="255"/>
      <c r="CP236" s="255"/>
      <c r="CQ236" s="255"/>
      <c r="CR236" s="255"/>
    </row>
    <row r="237" spans="1:96" s="2" customFormat="1" x14ac:dyDescent="0.3">
      <c r="A237" s="255"/>
      <c r="B237" s="270"/>
      <c r="C237" s="255"/>
      <c r="D237" s="255"/>
      <c r="E237" s="286"/>
      <c r="F237" s="286"/>
      <c r="G237" s="286"/>
      <c r="H237" s="286"/>
      <c r="I237" s="286"/>
      <c r="J237" s="286"/>
      <c r="K237" s="286"/>
      <c r="L237" s="286"/>
      <c r="M237" s="277"/>
      <c r="N237" s="278"/>
      <c r="O237" s="279"/>
      <c r="P237" s="255"/>
      <c r="Q237" s="223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8"/>
      <c r="AE237" s="47"/>
      <c r="AF237" s="47"/>
      <c r="AG237" s="47"/>
      <c r="AH237" s="67"/>
      <c r="AI237" s="67"/>
      <c r="AJ237" s="67"/>
      <c r="AK237" s="47"/>
      <c r="AL237" s="67"/>
      <c r="AM237" s="67"/>
      <c r="AN237" s="6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8"/>
      <c r="BJ237" s="48"/>
      <c r="BK237" s="47"/>
      <c r="BL237" s="47"/>
      <c r="BM237" s="48"/>
      <c r="BN237" s="48"/>
      <c r="BO237" s="47"/>
      <c r="BP237" s="47"/>
      <c r="BQ237" s="48"/>
      <c r="BR237" s="48"/>
      <c r="BS237" s="47"/>
      <c r="BT237" s="47"/>
      <c r="BU237" s="47"/>
      <c r="BV237" s="48"/>
      <c r="BW237" s="48"/>
      <c r="BX237" s="49"/>
      <c r="BY237" s="47"/>
      <c r="BZ237" s="255"/>
      <c r="CA237" s="255"/>
      <c r="CB237" s="255"/>
      <c r="CC237" s="255"/>
      <c r="CD237" s="255"/>
      <c r="CE237" s="255"/>
      <c r="CF237" s="255"/>
      <c r="CG237" s="255"/>
      <c r="CH237" s="255"/>
      <c r="CI237" s="255"/>
      <c r="CJ237" s="255"/>
      <c r="CK237" s="255"/>
      <c r="CL237" s="255"/>
      <c r="CM237" s="255"/>
      <c r="CN237" s="255"/>
      <c r="CO237" s="255"/>
      <c r="CP237" s="255"/>
      <c r="CQ237" s="255"/>
      <c r="CR237" s="255"/>
    </row>
    <row r="238" spans="1:96" s="2" customFormat="1" x14ac:dyDescent="0.3">
      <c r="A238" s="255"/>
      <c r="B238" s="270"/>
      <c r="C238" s="255"/>
      <c r="D238" s="255"/>
      <c r="E238" s="286"/>
      <c r="F238" s="286"/>
      <c r="G238" s="286"/>
      <c r="H238" s="286"/>
      <c r="I238" s="286"/>
      <c r="J238" s="286"/>
      <c r="K238" s="286"/>
      <c r="L238" s="286"/>
      <c r="M238" s="277"/>
      <c r="N238" s="278"/>
      <c r="O238" s="279"/>
      <c r="P238" s="255"/>
      <c r="Q238" s="223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8"/>
      <c r="AE238" s="47"/>
      <c r="AF238" s="47"/>
      <c r="AG238" s="47"/>
      <c r="AH238" s="67"/>
      <c r="AI238" s="67"/>
      <c r="AJ238" s="67"/>
      <c r="AK238" s="47"/>
      <c r="AL238" s="67"/>
      <c r="AM238" s="67"/>
      <c r="AN238" s="6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8"/>
      <c r="BJ238" s="48"/>
      <c r="BK238" s="47"/>
      <c r="BL238" s="47"/>
      <c r="BM238" s="48"/>
      <c r="BN238" s="48"/>
      <c r="BO238" s="47"/>
      <c r="BP238" s="47"/>
      <c r="BQ238" s="48"/>
      <c r="BR238" s="48"/>
      <c r="BS238" s="47"/>
      <c r="BT238" s="47"/>
      <c r="BU238" s="47"/>
      <c r="BV238" s="48"/>
      <c r="BW238" s="48"/>
      <c r="BX238" s="49"/>
      <c r="BY238" s="47"/>
      <c r="BZ238" s="255"/>
      <c r="CA238" s="255"/>
      <c r="CB238" s="255"/>
      <c r="CC238" s="255"/>
      <c r="CD238" s="255"/>
      <c r="CE238" s="255"/>
      <c r="CF238" s="255"/>
      <c r="CG238" s="255"/>
      <c r="CH238" s="255"/>
      <c r="CI238" s="255"/>
      <c r="CJ238" s="255"/>
      <c r="CK238" s="255"/>
      <c r="CL238" s="255"/>
      <c r="CM238" s="255"/>
      <c r="CN238" s="255"/>
      <c r="CO238" s="255"/>
      <c r="CP238" s="255"/>
      <c r="CQ238" s="255"/>
      <c r="CR238" s="255"/>
    </row>
    <row r="239" spans="1:96" s="2" customFormat="1" x14ac:dyDescent="0.3">
      <c r="A239" s="255"/>
      <c r="B239" s="270"/>
      <c r="C239" s="255"/>
      <c r="D239" s="255"/>
      <c r="E239" s="286"/>
      <c r="F239" s="286"/>
      <c r="G239" s="286"/>
      <c r="H239" s="286"/>
      <c r="I239" s="286"/>
      <c r="J239" s="286"/>
      <c r="K239" s="286"/>
      <c r="L239" s="286"/>
      <c r="M239" s="277"/>
      <c r="N239" s="278"/>
      <c r="O239" s="279"/>
      <c r="P239" s="255"/>
      <c r="Q239" s="223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8"/>
      <c r="AE239" s="47"/>
      <c r="AF239" s="47"/>
      <c r="AG239" s="47"/>
      <c r="AH239" s="67"/>
      <c r="AI239" s="67"/>
      <c r="AJ239" s="67"/>
      <c r="AK239" s="47"/>
      <c r="AL239" s="67"/>
      <c r="AM239" s="67"/>
      <c r="AN239" s="6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8"/>
      <c r="BJ239" s="48"/>
      <c r="BK239" s="47"/>
      <c r="BL239" s="47"/>
      <c r="BM239" s="48"/>
      <c r="BN239" s="48"/>
      <c r="BO239" s="47"/>
      <c r="BP239" s="47"/>
      <c r="BQ239" s="48"/>
      <c r="BR239" s="48"/>
      <c r="BS239" s="47"/>
      <c r="BT239" s="47"/>
      <c r="BU239" s="47"/>
      <c r="BV239" s="48"/>
      <c r="BW239" s="48"/>
      <c r="BX239" s="49"/>
      <c r="BY239" s="47"/>
      <c r="BZ239" s="255"/>
      <c r="CA239" s="255"/>
      <c r="CB239" s="255"/>
      <c r="CC239" s="255"/>
      <c r="CD239" s="255"/>
      <c r="CE239" s="255"/>
      <c r="CF239" s="255"/>
      <c r="CG239" s="255"/>
      <c r="CH239" s="255"/>
      <c r="CI239" s="255"/>
      <c r="CJ239" s="255"/>
      <c r="CK239" s="255"/>
      <c r="CL239" s="255"/>
      <c r="CM239" s="255"/>
      <c r="CN239" s="255"/>
      <c r="CO239" s="255"/>
      <c r="CP239" s="255"/>
      <c r="CQ239" s="255"/>
      <c r="CR239" s="255"/>
    </row>
    <row r="240" spans="1:96" s="2" customFormat="1" x14ac:dyDescent="0.3">
      <c r="A240" s="255"/>
      <c r="B240" s="270"/>
      <c r="C240" s="255"/>
      <c r="D240" s="255"/>
      <c r="E240" s="286"/>
      <c r="F240" s="286"/>
      <c r="G240" s="286"/>
      <c r="H240" s="286"/>
      <c r="I240" s="286"/>
      <c r="J240" s="286"/>
      <c r="K240" s="286"/>
      <c r="L240" s="286"/>
      <c r="M240" s="277"/>
      <c r="N240" s="278"/>
      <c r="O240" s="279"/>
      <c r="P240" s="255"/>
      <c r="Q240" s="223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8"/>
      <c r="AE240" s="47"/>
      <c r="AF240" s="47"/>
      <c r="AG240" s="47"/>
      <c r="AH240" s="67"/>
      <c r="AI240" s="67"/>
      <c r="AJ240" s="67"/>
      <c r="AK240" s="47"/>
      <c r="AL240" s="67"/>
      <c r="AM240" s="67"/>
      <c r="AN240" s="6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8"/>
      <c r="BJ240" s="48"/>
      <c r="BK240" s="47"/>
      <c r="BL240" s="47"/>
      <c r="BM240" s="48"/>
      <c r="BN240" s="48"/>
      <c r="BO240" s="47"/>
      <c r="BP240" s="47"/>
      <c r="BQ240" s="48"/>
      <c r="BR240" s="48"/>
      <c r="BS240" s="47"/>
      <c r="BT240" s="47"/>
      <c r="BU240" s="47"/>
      <c r="BV240" s="48"/>
      <c r="BW240" s="48"/>
      <c r="BX240" s="49"/>
      <c r="BY240" s="47"/>
      <c r="BZ240" s="255"/>
      <c r="CA240" s="255"/>
      <c r="CB240" s="255"/>
      <c r="CC240" s="255"/>
      <c r="CD240" s="255"/>
      <c r="CE240" s="255"/>
      <c r="CF240" s="255"/>
      <c r="CG240" s="255"/>
      <c r="CH240" s="255"/>
      <c r="CI240" s="255"/>
      <c r="CJ240" s="255"/>
      <c r="CK240" s="255"/>
      <c r="CL240" s="255"/>
      <c r="CM240" s="255"/>
      <c r="CN240" s="255"/>
      <c r="CO240" s="255"/>
      <c r="CP240" s="255"/>
      <c r="CQ240" s="255"/>
      <c r="CR240" s="255"/>
    </row>
    <row r="241" spans="1:96" s="2" customFormat="1" x14ac:dyDescent="0.3">
      <c r="A241" s="255"/>
      <c r="B241" s="270"/>
      <c r="C241" s="255"/>
      <c r="D241" s="255"/>
      <c r="E241" s="286"/>
      <c r="F241" s="286"/>
      <c r="G241" s="286"/>
      <c r="H241" s="286"/>
      <c r="I241" s="286"/>
      <c r="J241" s="286"/>
      <c r="K241" s="286"/>
      <c r="L241" s="286"/>
      <c r="M241" s="277"/>
      <c r="N241" s="278"/>
      <c r="O241" s="279"/>
      <c r="P241" s="255"/>
      <c r="Q241" s="223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8"/>
      <c r="AE241" s="47"/>
      <c r="AF241" s="47"/>
      <c r="AG241" s="47"/>
      <c r="AH241" s="67"/>
      <c r="AI241" s="67"/>
      <c r="AJ241" s="67"/>
      <c r="AK241" s="47"/>
      <c r="AL241" s="67"/>
      <c r="AM241" s="67"/>
      <c r="AN241" s="6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8"/>
      <c r="BJ241" s="48"/>
      <c r="BK241" s="47"/>
      <c r="BL241" s="47"/>
      <c r="BM241" s="48"/>
      <c r="BN241" s="48"/>
      <c r="BO241" s="47"/>
      <c r="BP241" s="47"/>
      <c r="BQ241" s="48"/>
      <c r="BR241" s="48"/>
      <c r="BS241" s="47"/>
      <c r="BT241" s="47"/>
      <c r="BU241" s="47"/>
      <c r="BV241" s="48"/>
      <c r="BW241" s="48"/>
      <c r="BX241" s="49"/>
      <c r="BY241" s="47"/>
      <c r="BZ241" s="255"/>
      <c r="CA241" s="255"/>
      <c r="CB241" s="255"/>
      <c r="CC241" s="255"/>
      <c r="CD241" s="255"/>
      <c r="CE241" s="255"/>
      <c r="CF241" s="255"/>
      <c r="CG241" s="255"/>
      <c r="CH241" s="255"/>
      <c r="CI241" s="255"/>
      <c r="CJ241" s="255"/>
      <c r="CK241" s="255"/>
      <c r="CL241" s="255"/>
      <c r="CM241" s="255"/>
      <c r="CN241" s="255"/>
      <c r="CO241" s="255"/>
      <c r="CP241" s="255"/>
      <c r="CQ241" s="255"/>
      <c r="CR241" s="255"/>
    </row>
    <row r="242" spans="1:96" s="2" customFormat="1" x14ac:dyDescent="0.3">
      <c r="A242" s="255"/>
      <c r="B242" s="270"/>
      <c r="C242" s="255"/>
      <c r="D242" s="255"/>
      <c r="E242" s="286"/>
      <c r="F242" s="286"/>
      <c r="G242" s="286"/>
      <c r="H242" s="286"/>
      <c r="I242" s="286"/>
      <c r="J242" s="286"/>
      <c r="K242" s="286"/>
      <c r="L242" s="286"/>
      <c r="M242" s="277"/>
      <c r="N242" s="278"/>
      <c r="O242" s="279"/>
      <c r="P242" s="255"/>
      <c r="Q242" s="223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8"/>
      <c r="AE242" s="47"/>
      <c r="AF242" s="47"/>
      <c r="AG242" s="47"/>
      <c r="AH242" s="67"/>
      <c r="AI242" s="67"/>
      <c r="AJ242" s="67"/>
      <c r="AK242" s="47"/>
      <c r="AL242" s="67"/>
      <c r="AM242" s="67"/>
      <c r="AN242" s="6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8"/>
      <c r="BJ242" s="48"/>
      <c r="BK242" s="47"/>
      <c r="BL242" s="47"/>
      <c r="BM242" s="48"/>
      <c r="BN242" s="48"/>
      <c r="BO242" s="47"/>
      <c r="BP242" s="47"/>
      <c r="BQ242" s="48"/>
      <c r="BR242" s="48"/>
      <c r="BS242" s="47"/>
      <c r="BT242" s="47"/>
      <c r="BU242" s="47"/>
      <c r="BV242" s="48"/>
      <c r="BW242" s="48"/>
      <c r="BX242" s="49"/>
      <c r="BY242" s="47"/>
      <c r="BZ242" s="255"/>
      <c r="CA242" s="255"/>
      <c r="CB242" s="255"/>
      <c r="CC242" s="255"/>
      <c r="CD242" s="255"/>
      <c r="CE242" s="255"/>
      <c r="CF242" s="255"/>
      <c r="CG242" s="255"/>
      <c r="CH242" s="255"/>
      <c r="CI242" s="255"/>
      <c r="CJ242" s="255"/>
      <c r="CK242" s="255"/>
      <c r="CL242" s="255"/>
      <c r="CM242" s="255"/>
      <c r="CN242" s="255"/>
      <c r="CO242" s="255"/>
      <c r="CP242" s="255"/>
      <c r="CQ242" s="255"/>
      <c r="CR242" s="255"/>
    </row>
    <row r="243" spans="1:96" s="2" customFormat="1" x14ac:dyDescent="0.3">
      <c r="A243" s="255"/>
      <c r="B243" s="270"/>
      <c r="C243" s="255"/>
      <c r="D243" s="255"/>
      <c r="E243" s="286"/>
      <c r="F243" s="286"/>
      <c r="G243" s="286"/>
      <c r="H243" s="286"/>
      <c r="I243" s="286"/>
      <c r="J243" s="286"/>
      <c r="K243" s="286"/>
      <c r="L243" s="286"/>
      <c r="M243" s="277"/>
      <c r="N243" s="278"/>
      <c r="O243" s="279"/>
      <c r="P243" s="255"/>
      <c r="Q243" s="223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8"/>
      <c r="AE243" s="47"/>
      <c r="AF243" s="47"/>
      <c r="AG243" s="47"/>
      <c r="AH243" s="67"/>
      <c r="AI243" s="67"/>
      <c r="AJ243" s="67"/>
      <c r="AK243" s="47"/>
      <c r="AL243" s="67"/>
      <c r="AM243" s="67"/>
      <c r="AN243" s="6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8"/>
      <c r="BJ243" s="48"/>
      <c r="BK243" s="47"/>
      <c r="BL243" s="47"/>
      <c r="BM243" s="48"/>
      <c r="BN243" s="48"/>
      <c r="BO243" s="47"/>
      <c r="BP243" s="47"/>
      <c r="BQ243" s="48"/>
      <c r="BR243" s="48"/>
      <c r="BS243" s="47"/>
      <c r="BT243" s="47"/>
      <c r="BU243" s="47"/>
      <c r="BV243" s="48"/>
      <c r="BW243" s="48"/>
      <c r="BX243" s="49"/>
      <c r="BY243" s="47"/>
      <c r="BZ243" s="255"/>
      <c r="CA243" s="255"/>
      <c r="CB243" s="255"/>
      <c r="CC243" s="255"/>
      <c r="CD243" s="255"/>
      <c r="CE243" s="255"/>
      <c r="CF243" s="255"/>
      <c r="CG243" s="255"/>
      <c r="CH243" s="255"/>
      <c r="CI243" s="255"/>
      <c r="CJ243" s="255"/>
      <c r="CK243" s="255"/>
      <c r="CL243" s="255"/>
      <c r="CM243" s="255"/>
      <c r="CN243" s="255"/>
      <c r="CO243" s="255"/>
      <c r="CP243" s="255"/>
      <c r="CQ243" s="255"/>
      <c r="CR243" s="255"/>
    </row>
    <row r="244" spans="1:96" s="2" customFormat="1" x14ac:dyDescent="0.3">
      <c r="A244" s="255"/>
      <c r="B244" s="270"/>
      <c r="C244" s="255"/>
      <c r="D244" s="255"/>
      <c r="E244" s="286"/>
      <c r="F244" s="286"/>
      <c r="G244" s="286"/>
      <c r="H244" s="286"/>
      <c r="I244" s="286"/>
      <c r="J244" s="286"/>
      <c r="K244" s="286"/>
      <c r="L244" s="286"/>
      <c r="M244" s="277"/>
      <c r="N244" s="278"/>
      <c r="O244" s="279"/>
      <c r="P244" s="255"/>
      <c r="Q244" s="223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8"/>
      <c r="AE244" s="47"/>
      <c r="AF244" s="47"/>
      <c r="AG244" s="47"/>
      <c r="AH244" s="67"/>
      <c r="AI244" s="67"/>
      <c r="AJ244" s="67"/>
      <c r="AK244" s="47"/>
      <c r="AL244" s="67"/>
      <c r="AM244" s="67"/>
      <c r="AN244" s="6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8"/>
      <c r="BJ244" s="48"/>
      <c r="BK244" s="47"/>
      <c r="BL244" s="47"/>
      <c r="BM244" s="48"/>
      <c r="BN244" s="48"/>
      <c r="BO244" s="47"/>
      <c r="BP244" s="47"/>
      <c r="BQ244" s="48"/>
      <c r="BR244" s="48"/>
      <c r="BS244" s="47"/>
      <c r="BT244" s="47"/>
      <c r="BU244" s="47"/>
      <c r="BV244" s="48"/>
      <c r="BW244" s="48"/>
      <c r="BX244" s="49"/>
      <c r="BY244" s="47"/>
      <c r="BZ244" s="255"/>
      <c r="CA244" s="255"/>
      <c r="CB244" s="255"/>
      <c r="CC244" s="255"/>
      <c r="CD244" s="255"/>
      <c r="CE244" s="255"/>
      <c r="CF244" s="255"/>
      <c r="CG244" s="255"/>
      <c r="CH244" s="255"/>
      <c r="CI244" s="255"/>
      <c r="CJ244" s="255"/>
      <c r="CK244" s="255"/>
      <c r="CL244" s="255"/>
      <c r="CM244" s="255"/>
      <c r="CN244" s="255"/>
      <c r="CO244" s="255"/>
      <c r="CP244" s="255"/>
      <c r="CQ244" s="255"/>
      <c r="CR244" s="255"/>
    </row>
    <row r="245" spans="1:96" s="2" customFormat="1" x14ac:dyDescent="0.3">
      <c r="A245" s="255"/>
      <c r="B245" s="270"/>
      <c r="C245" s="255"/>
      <c r="D245" s="255"/>
      <c r="E245" s="286"/>
      <c r="F245" s="286"/>
      <c r="G245" s="286"/>
      <c r="H245" s="286"/>
      <c r="I245" s="286"/>
      <c r="J245" s="286"/>
      <c r="K245" s="286"/>
      <c r="L245" s="286"/>
      <c r="M245" s="277"/>
      <c r="N245" s="278"/>
      <c r="O245" s="279"/>
      <c r="P245" s="255"/>
      <c r="Q245" s="223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8"/>
      <c r="AE245" s="47"/>
      <c r="AF245" s="47"/>
      <c r="AG245" s="47"/>
      <c r="AH245" s="67"/>
      <c r="AI245" s="67"/>
      <c r="AJ245" s="67"/>
      <c r="AK245" s="47"/>
      <c r="AL245" s="67"/>
      <c r="AM245" s="67"/>
      <c r="AN245" s="6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8"/>
      <c r="BJ245" s="48"/>
      <c r="BK245" s="47"/>
      <c r="BL245" s="47"/>
      <c r="BM245" s="48"/>
      <c r="BN245" s="48"/>
      <c r="BO245" s="47"/>
      <c r="BP245" s="47"/>
      <c r="BQ245" s="48"/>
      <c r="BR245" s="48"/>
      <c r="BS245" s="47"/>
      <c r="BT245" s="47"/>
      <c r="BU245" s="47"/>
      <c r="BV245" s="48"/>
      <c r="BW245" s="48"/>
      <c r="BX245" s="49"/>
      <c r="BY245" s="47"/>
      <c r="BZ245" s="255"/>
      <c r="CA245" s="255"/>
      <c r="CB245" s="255"/>
      <c r="CC245" s="255"/>
      <c r="CD245" s="255"/>
      <c r="CE245" s="255"/>
      <c r="CF245" s="255"/>
      <c r="CG245" s="255"/>
      <c r="CH245" s="255"/>
      <c r="CI245" s="255"/>
      <c r="CJ245" s="255"/>
      <c r="CK245" s="255"/>
      <c r="CL245" s="255"/>
      <c r="CM245" s="255"/>
      <c r="CN245" s="255"/>
      <c r="CO245" s="255"/>
      <c r="CP245" s="255"/>
      <c r="CQ245" s="255"/>
      <c r="CR245" s="255"/>
    </row>
    <row r="246" spans="1:96" s="2" customFormat="1" x14ac:dyDescent="0.3">
      <c r="A246" s="255"/>
      <c r="B246" s="270"/>
      <c r="C246" s="255"/>
      <c r="D246" s="255"/>
      <c r="E246" s="286"/>
      <c r="F246" s="286"/>
      <c r="G246" s="286"/>
      <c r="H246" s="286"/>
      <c r="I246" s="286"/>
      <c r="J246" s="286"/>
      <c r="K246" s="286"/>
      <c r="L246" s="286"/>
      <c r="M246" s="277"/>
      <c r="N246" s="278"/>
      <c r="O246" s="279"/>
      <c r="P246" s="255"/>
      <c r="Q246" s="223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8"/>
      <c r="AE246" s="47"/>
      <c r="AF246" s="47"/>
      <c r="AG246" s="47"/>
      <c r="AH246" s="67"/>
      <c r="AI246" s="67"/>
      <c r="AJ246" s="67"/>
      <c r="AK246" s="47"/>
      <c r="AL246" s="67"/>
      <c r="AM246" s="67"/>
      <c r="AN246" s="6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8"/>
      <c r="BJ246" s="48"/>
      <c r="BK246" s="47"/>
      <c r="BL246" s="47"/>
      <c r="BM246" s="48"/>
      <c r="BN246" s="48"/>
      <c r="BO246" s="47"/>
      <c r="BP246" s="47"/>
      <c r="BQ246" s="48"/>
      <c r="BR246" s="48"/>
      <c r="BS246" s="47"/>
      <c r="BT246" s="47"/>
      <c r="BU246" s="47"/>
      <c r="BV246" s="48"/>
      <c r="BW246" s="48"/>
      <c r="BX246" s="49"/>
      <c r="BY246" s="47"/>
      <c r="BZ246" s="255"/>
      <c r="CA246" s="255"/>
      <c r="CB246" s="255"/>
      <c r="CC246" s="255"/>
      <c r="CD246" s="255"/>
      <c r="CE246" s="255"/>
      <c r="CF246" s="255"/>
      <c r="CG246" s="255"/>
      <c r="CH246" s="255"/>
      <c r="CI246" s="255"/>
      <c r="CJ246" s="255"/>
      <c r="CK246" s="255"/>
      <c r="CL246" s="255"/>
      <c r="CM246" s="255"/>
      <c r="CN246" s="255"/>
      <c r="CO246" s="255"/>
      <c r="CP246" s="255"/>
      <c r="CQ246" s="255"/>
      <c r="CR246" s="255"/>
    </row>
    <row r="247" spans="1:96" s="2" customFormat="1" x14ac:dyDescent="0.3">
      <c r="A247" s="255"/>
      <c r="B247" s="270"/>
      <c r="C247" s="255"/>
      <c r="D247" s="255"/>
      <c r="E247" s="286"/>
      <c r="F247" s="286"/>
      <c r="G247" s="286"/>
      <c r="H247" s="286"/>
      <c r="I247" s="286"/>
      <c r="J247" s="286"/>
      <c r="K247" s="286"/>
      <c r="L247" s="286"/>
      <c r="M247" s="277"/>
      <c r="N247" s="278"/>
      <c r="O247" s="279"/>
      <c r="P247" s="255"/>
      <c r="Q247" s="223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8"/>
      <c r="AE247" s="47"/>
      <c r="AF247" s="47"/>
      <c r="AG247" s="47"/>
      <c r="AH247" s="67"/>
      <c r="AI247" s="67"/>
      <c r="AJ247" s="67"/>
      <c r="AK247" s="47"/>
      <c r="AL247" s="67"/>
      <c r="AM247" s="67"/>
      <c r="AN247" s="6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8"/>
      <c r="BJ247" s="48"/>
      <c r="BK247" s="47"/>
      <c r="BL247" s="47"/>
      <c r="BM247" s="48"/>
      <c r="BN247" s="48"/>
      <c r="BO247" s="47"/>
      <c r="BP247" s="47"/>
      <c r="BQ247" s="48"/>
      <c r="BR247" s="48"/>
      <c r="BS247" s="47"/>
      <c r="BT247" s="47"/>
      <c r="BU247" s="47"/>
      <c r="BV247" s="48"/>
      <c r="BW247" s="48"/>
      <c r="BX247" s="49"/>
      <c r="BY247" s="47"/>
      <c r="BZ247" s="255"/>
      <c r="CA247" s="255"/>
      <c r="CB247" s="255"/>
      <c r="CC247" s="255"/>
      <c r="CD247" s="255"/>
      <c r="CE247" s="255"/>
      <c r="CF247" s="255"/>
      <c r="CG247" s="255"/>
      <c r="CH247" s="255"/>
      <c r="CI247" s="255"/>
      <c r="CJ247" s="255"/>
      <c r="CK247" s="255"/>
      <c r="CL247" s="255"/>
      <c r="CM247" s="255"/>
      <c r="CN247" s="255"/>
      <c r="CO247" s="255"/>
      <c r="CP247" s="255"/>
      <c r="CQ247" s="255"/>
      <c r="CR247" s="255"/>
    </row>
    <row r="248" spans="1:96" s="2" customFormat="1" x14ac:dyDescent="0.3">
      <c r="A248" s="255"/>
      <c r="B248" s="270"/>
      <c r="C248" s="255"/>
      <c r="D248" s="255"/>
      <c r="E248" s="286"/>
      <c r="F248" s="286"/>
      <c r="G248" s="286"/>
      <c r="H248" s="286"/>
      <c r="I248" s="286"/>
      <c r="J248" s="286"/>
      <c r="K248" s="286"/>
      <c r="L248" s="286"/>
      <c r="M248" s="277"/>
      <c r="N248" s="278"/>
      <c r="O248" s="279"/>
      <c r="P248" s="255"/>
      <c r="Q248" s="223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8"/>
      <c r="AE248" s="47"/>
      <c r="AF248" s="47"/>
      <c r="AG248" s="47"/>
      <c r="AH248" s="67"/>
      <c r="AI248" s="67"/>
      <c r="AJ248" s="67"/>
      <c r="AK248" s="47"/>
      <c r="AL248" s="67"/>
      <c r="AM248" s="67"/>
      <c r="AN248" s="6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8"/>
      <c r="BJ248" s="48"/>
      <c r="BK248" s="47"/>
      <c r="BL248" s="47"/>
      <c r="BM248" s="48"/>
      <c r="BN248" s="48"/>
      <c r="BO248" s="47"/>
      <c r="BP248" s="47"/>
      <c r="BQ248" s="48"/>
      <c r="BR248" s="48"/>
      <c r="BS248" s="47"/>
      <c r="BT248" s="47"/>
      <c r="BU248" s="47"/>
      <c r="BV248" s="48"/>
      <c r="BW248" s="48"/>
      <c r="BX248" s="49"/>
      <c r="BY248" s="47"/>
      <c r="BZ248" s="255"/>
      <c r="CA248" s="255"/>
      <c r="CB248" s="255"/>
      <c r="CC248" s="255"/>
      <c r="CD248" s="255"/>
      <c r="CE248" s="255"/>
      <c r="CF248" s="255"/>
      <c r="CG248" s="255"/>
      <c r="CH248" s="255"/>
      <c r="CI248" s="255"/>
      <c r="CJ248" s="255"/>
      <c r="CK248" s="255"/>
      <c r="CL248" s="255"/>
      <c r="CM248" s="255"/>
      <c r="CN248" s="255"/>
      <c r="CO248" s="255"/>
      <c r="CP248" s="255"/>
      <c r="CQ248" s="255"/>
      <c r="CR248" s="255"/>
    </row>
    <row r="249" spans="1:96" x14ac:dyDescent="0.3">
      <c r="B249" s="270"/>
      <c r="C249" s="255"/>
      <c r="D249" s="255"/>
      <c r="E249" s="286"/>
      <c r="F249" s="286"/>
      <c r="G249" s="286"/>
      <c r="H249" s="286"/>
      <c r="I249" s="286"/>
      <c r="J249" s="286"/>
      <c r="K249" s="286"/>
      <c r="L249" s="286"/>
      <c r="M249" s="277"/>
      <c r="N249" s="278"/>
      <c r="O249" s="279"/>
      <c r="P249" s="255"/>
    </row>
  </sheetData>
  <sheetProtection algorithmName="SHA-512" hashValue="rcQg2A8eUKYUUSYpr1rCA8xABc3oHpij00uwIo3pe0tCrsjgYanmqYOO5Hok9WSsennsRfxglaOaJN0yqN8+dA==" saltValue="83uizAvXEZ//hDD6MUHXVA==" spinCount="100000" sheet="1" objects="1" scenarios="1"/>
  <protectedRanges>
    <protectedRange sqref="B84 B111:B133 B50:B75" name="Auswahlfelder"/>
  </protectedRanges>
  <mergeCells count="33">
    <mergeCell ref="BG204:BJ204"/>
    <mergeCell ref="BK204:BN204"/>
    <mergeCell ref="BO204:BR204"/>
    <mergeCell ref="BS204:BW204"/>
    <mergeCell ref="BX204:BY204"/>
    <mergeCell ref="M7:P7"/>
    <mergeCell ref="C5:D5"/>
    <mergeCell ref="C6:D6"/>
    <mergeCell ref="C7:D7"/>
    <mergeCell ref="M6:P6"/>
    <mergeCell ref="M5:P5"/>
    <mergeCell ref="BX178:BY178"/>
    <mergeCell ref="BG178:BJ178"/>
    <mergeCell ref="BO178:BR178"/>
    <mergeCell ref="BK178:BN178"/>
    <mergeCell ref="BS178:BW178"/>
    <mergeCell ref="E11:E12"/>
    <mergeCell ref="E5:L5"/>
    <mergeCell ref="E6:L6"/>
    <mergeCell ref="E7:L7"/>
    <mergeCell ref="E8:L8"/>
    <mergeCell ref="E9:L9"/>
    <mergeCell ref="AY204:BF204"/>
    <mergeCell ref="AQ178:AX178"/>
    <mergeCell ref="AQ204:AX204"/>
    <mergeCell ref="B169:B171"/>
    <mergeCell ref="B173:B174"/>
    <mergeCell ref="B175:B176"/>
    <mergeCell ref="AG178:AJ178"/>
    <mergeCell ref="AK178:AN178"/>
    <mergeCell ref="Z178:AA178"/>
    <mergeCell ref="E169:L169"/>
    <mergeCell ref="AY178:BF178"/>
  </mergeCells>
  <phoneticPr fontId="5" type="noConversion"/>
  <conditionalFormatting sqref="E175:L175">
    <cfRule type="colorScale" priority="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82:AC202">
    <cfRule type="colorScale" priority="9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1 E167:K167 E166:J166 L166 E165:I165 K165:L165 E164:H164 J164:L164 E163:G163 I163:L163 E162:F162 H162:L162 G161:L161">
    <cfRule type="cellIs" dxfId="10" priority="230" operator="greaterThan">
      <formula>0</formula>
    </cfRule>
  </conditionalFormatting>
  <conditionalFormatting sqref="G17:G37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:H37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:I37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0:L160">
    <cfRule type="top10" dxfId="9" priority="186" bottom="1" rank="1"/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0:L170">
    <cfRule type="colorScale" priority="567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8" priority="910" operator="lessThan">
      <formula>0</formula>
    </cfRule>
  </conditionalFormatting>
  <conditionalFormatting sqref="E171:L171">
    <cfRule type="colorScale" priority="923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7" priority="925" operator="lessThan">
      <formula>0</formula>
    </cfRule>
  </conditionalFormatting>
  <conditionalFormatting sqref="E176:L176">
    <cfRule type="colorScale" priority="947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6" priority="948" operator="lessThan">
      <formula>0</formula>
    </cfRule>
  </conditionalFormatting>
  <conditionalFormatting sqref="E50:L147 E149:L156">
    <cfRule type="expression" dxfId="5" priority="76">
      <formula>OR(AND($B50="x",E50="µ"),AND($B50="x",E50="enthalten"))</formula>
    </cfRule>
    <cfRule type="expression" dxfId="4" priority="77">
      <formula>OR(AND($B50="x",E50="Zusatzprodukt"),AND($B50="x",E50="Kauf nach CF"))</formula>
    </cfRule>
    <cfRule type="expression" dxfId="3" priority="185">
      <formula>AND($B50="x",E50="enthalten")</formula>
    </cfRule>
  </conditionalFormatting>
  <conditionalFormatting sqref="E148:L148">
    <cfRule type="expression" dxfId="2" priority="1">
      <formula>OR(AND($B148="x",E148="µ"),AND($B148="x",E148="enthalten"))</formula>
    </cfRule>
    <cfRule type="expression" dxfId="1" priority="2">
      <formula>OR(AND($B148="x",E148="Zusatzprodukt"),AND($B148="x",E148="Kauf nach CF"))</formula>
    </cfRule>
    <cfRule type="expression" dxfId="0" priority="3">
      <formula>AND($B148="x",E148="enthalten")</formula>
    </cfRule>
  </conditionalFormatting>
  <dataValidations count="1">
    <dataValidation type="list" allowBlank="1" showInputMessage="1" showErrorMessage="1" sqref="B84 B50:B75 B111:B133" xr:uid="{D30EEA0A-86A0-48D5-A10D-3ABC9F2C4A3A}">
      <formula1>$B$214:$B$215</formula1>
    </dataValidation>
  </dataValidations>
  <hyperlinks>
    <hyperlink ref="M7" r:id="rId1" xr:uid="{F6FD11AA-304E-4AFD-B624-56EDA608C84C}"/>
    <hyperlink ref="E7" r:id="rId2" xr:uid="{258F6FF8-9B4F-4F08-9226-7DB580773B75}"/>
    <hyperlink ref="M7:P7" r:id="rId3" display="https://hinterdemauge.blogspot.com" xr:uid="{A6529F6F-A76C-406F-95FB-95A6C338D1A1}"/>
  </hyperlinks>
  <pageMargins left="0.15748031496062992" right="7.874015748031496E-2" top="0.55000000000000004" bottom="0.13" header="0.31496062992125984" footer="0.09"/>
  <pageSetup paperSize="9" scale="48" fitToHeight="0" orientation="landscape" r:id="rId4"/>
  <rowBreaks count="3" manualBreakCount="3">
    <brk id="92" max="15" man="1"/>
    <brk id="138" max="15" man="1"/>
    <brk id="177" max="15" man="1"/>
  </rowBreaks>
  <drawing r:id="rId5"/>
  <legacy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66489-48CB-4CB3-A14C-D94BAC65D341}">
  <dimension ref="B1:BC50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G55" sqref="AG55"/>
    </sheetView>
  </sheetViews>
  <sheetFormatPr baseColWidth="10" defaultRowHeight="15" x14ac:dyDescent="0.25"/>
  <cols>
    <col min="3" max="3" width="14.7109375" style="3" customWidth="1"/>
    <col min="4" max="4" width="19.5703125" style="3" customWidth="1"/>
    <col min="5" max="5" width="13.140625" style="4" customWidth="1"/>
    <col min="6" max="6" width="18" style="4" customWidth="1"/>
    <col min="7" max="7" width="15.140625" style="4" customWidth="1"/>
    <col min="8" max="12" width="20" style="4" customWidth="1"/>
    <col min="13" max="16" width="11" style="4" customWidth="1"/>
    <col min="17" max="30" width="11.42578125" style="21"/>
    <col min="40" max="40" width="11.42578125" style="5"/>
    <col min="41" max="41" width="11.42578125" style="6"/>
    <col min="42" max="42" width="11.42578125" style="5"/>
    <col min="43" max="43" width="11.42578125" style="6"/>
    <col min="44" max="44" width="11.42578125" style="19"/>
    <col min="45" max="45" width="11.42578125" style="22"/>
    <col min="46" max="46" width="11.42578125" style="5"/>
    <col min="47" max="47" width="11.42578125" style="6"/>
    <col min="48" max="48" width="11.42578125" style="5"/>
    <col min="49" max="49" width="11.42578125" style="6"/>
    <col min="50" max="50" width="11.42578125" style="5"/>
    <col min="51" max="51" width="11.42578125" style="6"/>
    <col min="52" max="52" width="5.28515625" bestFit="1" customWidth="1"/>
    <col min="53" max="54" width="4.5703125" bestFit="1" customWidth="1"/>
  </cols>
  <sheetData>
    <row r="1" spans="2:54" x14ac:dyDescent="0.25">
      <c r="C1" s="3" t="s">
        <v>57</v>
      </c>
      <c r="D1" s="3" t="s">
        <v>57</v>
      </c>
      <c r="E1" s="4" t="s">
        <v>58</v>
      </c>
      <c r="F1" s="4" t="s">
        <v>58</v>
      </c>
      <c r="G1" s="4" t="s">
        <v>58</v>
      </c>
      <c r="H1" s="4" t="s">
        <v>58</v>
      </c>
      <c r="I1" s="4" t="s">
        <v>58</v>
      </c>
      <c r="J1" s="4" t="s">
        <v>58</v>
      </c>
      <c r="K1" s="4" t="s">
        <v>58</v>
      </c>
      <c r="L1" s="4" t="s">
        <v>58</v>
      </c>
      <c r="M1" s="4" t="s">
        <v>58</v>
      </c>
      <c r="N1" s="4" t="s">
        <v>58</v>
      </c>
      <c r="O1" s="4" t="s">
        <v>58</v>
      </c>
      <c r="P1" s="4" t="s">
        <v>58</v>
      </c>
      <c r="Q1" s="3" t="s">
        <v>57</v>
      </c>
      <c r="R1" s="3" t="s">
        <v>57</v>
      </c>
      <c r="S1" s="3" t="s">
        <v>57</v>
      </c>
      <c r="T1" s="3" t="s">
        <v>57</v>
      </c>
      <c r="U1" s="3" t="s">
        <v>57</v>
      </c>
      <c r="V1" s="3" t="s">
        <v>57</v>
      </c>
      <c r="W1" s="3"/>
      <c r="X1" s="3"/>
      <c r="Y1" s="3" t="s">
        <v>57</v>
      </c>
      <c r="Z1" s="3" t="s">
        <v>57</v>
      </c>
      <c r="AA1" s="3"/>
      <c r="AB1" s="3"/>
      <c r="AC1" s="3"/>
      <c r="AD1" s="3"/>
    </row>
    <row r="2" spans="2:54" x14ac:dyDescent="0.25">
      <c r="B2" t="s">
        <v>36</v>
      </c>
      <c r="C2" s="3" t="s">
        <v>116</v>
      </c>
      <c r="D2" s="3" t="s">
        <v>117</v>
      </c>
      <c r="E2" s="4" t="s">
        <v>60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86</v>
      </c>
      <c r="L2" s="4" t="s">
        <v>87</v>
      </c>
      <c r="M2" s="3" t="s">
        <v>120</v>
      </c>
      <c r="N2" s="3" t="s">
        <v>121</v>
      </c>
      <c r="O2" s="3" t="s">
        <v>269</v>
      </c>
      <c r="P2" s="3" t="s">
        <v>270</v>
      </c>
      <c r="Q2" s="3" t="s">
        <v>66</v>
      </c>
      <c r="R2" s="3" t="s">
        <v>67</v>
      </c>
      <c r="S2" s="3" t="s">
        <v>68</v>
      </c>
      <c r="T2" s="3" t="s">
        <v>69</v>
      </c>
      <c r="U2" s="3" t="s">
        <v>70</v>
      </c>
      <c r="V2" s="3" t="s">
        <v>71</v>
      </c>
      <c r="W2" s="3" t="s">
        <v>84</v>
      </c>
      <c r="X2" s="3" t="s">
        <v>85</v>
      </c>
      <c r="Y2" s="3" t="s">
        <v>118</v>
      </c>
      <c r="Z2" s="3" t="s">
        <v>119</v>
      </c>
      <c r="AA2" s="3" t="s">
        <v>156</v>
      </c>
      <c r="AB2" s="3" t="s">
        <v>157</v>
      </c>
      <c r="AC2" s="3" t="s">
        <v>267</v>
      </c>
      <c r="AD2" s="3" t="s">
        <v>268</v>
      </c>
      <c r="AE2" s="7" t="s">
        <v>72</v>
      </c>
      <c r="AF2" s="7" t="s">
        <v>73</v>
      </c>
      <c r="AG2" s="7" t="s">
        <v>74</v>
      </c>
      <c r="AH2" s="7" t="s">
        <v>75</v>
      </c>
      <c r="AI2" s="7" t="s">
        <v>76</v>
      </c>
      <c r="AJ2" s="7" t="s">
        <v>77</v>
      </c>
      <c r="AK2" s="7" t="s">
        <v>78</v>
      </c>
      <c r="AL2" s="7" t="s">
        <v>79</v>
      </c>
      <c r="AN2"/>
      <c r="AO2"/>
      <c r="AP2"/>
      <c r="AQ2"/>
      <c r="AR2"/>
      <c r="AS2"/>
      <c r="AT2"/>
      <c r="AU2"/>
      <c r="AV2"/>
      <c r="AW2"/>
      <c r="AX2"/>
      <c r="AY2"/>
    </row>
    <row r="3" spans="2:54" x14ac:dyDescent="0.25">
      <c r="B3">
        <v>0</v>
      </c>
      <c r="C3" s="3">
        <v>0</v>
      </c>
      <c r="D3" s="3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50">
        <v>0</v>
      </c>
      <c r="X3" s="50">
        <v>0</v>
      </c>
      <c r="Y3" s="50">
        <v>0</v>
      </c>
      <c r="Z3" s="50">
        <v>0</v>
      </c>
      <c r="AA3" s="50">
        <v>0</v>
      </c>
      <c r="AB3" s="50">
        <v>0</v>
      </c>
      <c r="AC3" s="50">
        <v>0</v>
      </c>
      <c r="AD3" s="50">
        <v>0</v>
      </c>
      <c r="AE3" s="9">
        <f>Tabelle3[[#This Row],[Nedime (€)]]/C$24</f>
        <v>0</v>
      </c>
      <c r="AF3" s="9">
        <f>Tabelle3[[#This Row],[Nedime (Backer)]]/D$24</f>
        <v>0</v>
      </c>
      <c r="AG3" s="9">
        <f>Tabelle3[[#This Row],[Thorwal (€)]]/Q$24</f>
        <v>0</v>
      </c>
      <c r="AH3" s="9">
        <f>Tabelle3[[#This Row],[Thorwal (Backer)]]/R$24</f>
        <v>0</v>
      </c>
      <c r="AI3" s="9">
        <f>Tabelle3[[#This Row],[Werkzeuge (€)]]/S$24</f>
        <v>0</v>
      </c>
      <c r="AJ3" s="9">
        <f>Tabelle3[[#This Row],[Werkzeuge (Backer)]]/T$24</f>
        <v>0</v>
      </c>
      <c r="AK3" s="9">
        <f>Tabelle3[[#This Row],[Mythos (€)]]/U$24</f>
        <v>0</v>
      </c>
      <c r="AL3" s="9">
        <f>Tabelle3[[#This Row],[Mythos (Backer)]]/V$24</f>
        <v>0</v>
      </c>
      <c r="AN3"/>
      <c r="AO3"/>
      <c r="AP3"/>
      <c r="AQ3"/>
      <c r="AR3"/>
      <c r="AS3"/>
      <c r="AT3"/>
      <c r="AU3"/>
      <c r="AV3"/>
      <c r="AW3"/>
      <c r="AX3"/>
      <c r="AY3"/>
    </row>
    <row r="4" spans="2:54" x14ac:dyDescent="0.25">
      <c r="B4">
        <v>1</v>
      </c>
      <c r="C4" s="3">
        <v>14771</v>
      </c>
      <c r="D4" s="3">
        <v>73</v>
      </c>
      <c r="E4" s="4">
        <f>Tabelle3[[#This Row],[Thorwal (€)]]/Q24*E24</f>
        <v>15220.890095815445</v>
      </c>
      <c r="F4" s="4">
        <f>Tabelle3[[#This Row],[Thorwal (Backer)]]/R24*F24</f>
        <v>110.36895674300254</v>
      </c>
      <c r="G4" s="4">
        <f>Tabelle3[[#This Row],[Werkzeuge (€)]]/$S$24*$G$24</f>
        <v>15879.347283058034</v>
      </c>
      <c r="H4" s="4">
        <f>Tabelle3[[#This Row],[Werkzeuge (Backer)]]/$T$24*$H$24</f>
        <v>82.160052910052912</v>
      </c>
      <c r="I4" s="11">
        <f>Tabelle3[[#This Row],[Mythos (€)]]/$U$24*$I$24</f>
        <v>8008.0810450070085</v>
      </c>
      <c r="J4" s="11">
        <f>Tabelle3[[#This Row],[Mythos (Backer)]]/$V$24*$J$24</f>
        <v>48.804500703234879</v>
      </c>
      <c r="K4" s="4">
        <f>Tabelle3[[#This Row],[DSK (€)]]/$W$24*$I$24</f>
        <v>18321.783592211064</v>
      </c>
      <c r="L4" s="4">
        <f>Tabelle3[[#This Row],[DSK (Backer)]]/$X$24*$L$24</f>
        <v>103.14786585365853</v>
      </c>
      <c r="M4" s="4">
        <f>Tabelle3[[#This Row],[Mythen (€)]]/$Y$24*$M$24</f>
        <v>13585.517272030311</v>
      </c>
      <c r="N4" s="4">
        <f>Tabelle3[[#This Row],[Mythen (Backer)]]/$Z$24*$N$24</f>
        <v>80.453629032258064</v>
      </c>
      <c r="O4" s="4">
        <f>Tabelle3[[#This Row],[SOK (€)]]/$AA$24*$M$24</f>
        <v>23389.670781979032</v>
      </c>
      <c r="P4" s="4">
        <f>Tabelle3[[#This Row],[SOK (Backer)]]/$AB$24*$N$24</f>
        <v>130.33353365384616</v>
      </c>
      <c r="Q4" s="3">
        <v>65000</v>
      </c>
      <c r="R4" s="3">
        <v>500</v>
      </c>
      <c r="S4" s="3">
        <v>43437</v>
      </c>
      <c r="T4" s="3">
        <v>179</v>
      </c>
      <c r="U4" s="10">
        <f>U3+($U$6-$U$3)/3</f>
        <v>15333.333333333334</v>
      </c>
      <c r="V4" s="10">
        <f>V3+($V$6-$V$3)/3</f>
        <v>100</v>
      </c>
      <c r="W4" s="50">
        <v>36402</v>
      </c>
      <c r="X4" s="50">
        <v>195</v>
      </c>
      <c r="Y4" s="50">
        <v>19612</v>
      </c>
      <c r="Z4" s="50">
        <v>115</v>
      </c>
      <c r="AA4" s="50">
        <v>89735</v>
      </c>
      <c r="AB4" s="50">
        <v>625</v>
      </c>
      <c r="AC4" s="50">
        <f>'Rohals Erben'!Z182</f>
        <v>82966</v>
      </c>
      <c r="AD4" s="50">
        <f>'Rohals Erben'!AA182</f>
        <v>341</v>
      </c>
      <c r="AE4" s="9">
        <f>Tabelle3[[#This Row],[Nedime (€)]]/C$24</f>
        <v>0.23692357045472773</v>
      </c>
      <c r="AF4" s="9">
        <f>Tabelle3[[#This Row],[Nedime (Backer)]]/D$24</f>
        <v>0.21037463976945245</v>
      </c>
      <c r="AG4" s="9">
        <f>Tabelle3[[#This Row],[Thorwal (€)]]/Q$24</f>
        <v>0.24413970800890922</v>
      </c>
      <c r="AH4" s="9">
        <f>Tabelle3[[#This Row],[Thorwal (Backer)]]/R$24</f>
        <v>0.31806615776081426</v>
      </c>
      <c r="AI4" s="9">
        <f>Tabelle3[[#This Row],[Werkzeuge (€)]]/S$24</f>
        <v>0.25470121554347636</v>
      </c>
      <c r="AJ4" s="9">
        <f>Tabelle3[[#This Row],[Werkzeuge (Backer)]]/T$24</f>
        <v>0.23677248677248677</v>
      </c>
      <c r="AK4" s="9"/>
      <c r="AL4" s="9"/>
      <c r="AN4"/>
      <c r="AO4"/>
      <c r="AP4"/>
      <c r="AQ4"/>
      <c r="AR4"/>
      <c r="AS4"/>
      <c r="AT4"/>
      <c r="AU4"/>
      <c r="AV4"/>
      <c r="AW4"/>
      <c r="AX4"/>
      <c r="AY4"/>
    </row>
    <row r="5" spans="2:54" x14ac:dyDescent="0.25">
      <c r="B5">
        <v>2</v>
      </c>
      <c r="C5" s="3">
        <v>16764</v>
      </c>
      <c r="D5" s="3">
        <v>82</v>
      </c>
      <c r="E5" s="11">
        <f t="shared" ref="E5:E13" si="0">E4+($E$14-$E$4)/10</f>
        <v>16625.895335429177</v>
      </c>
      <c r="F5" s="11">
        <f>F4+($F$14-$F$4)/10</f>
        <v>119.19847328244275</v>
      </c>
      <c r="G5" s="4">
        <f>Tabelle3[[#This Row],[Werkzeuge (€)]]/$S$24*$G$24</f>
        <v>18103.852387402443</v>
      </c>
      <c r="H5" s="4">
        <f>Tabelle3[[#This Row],[Werkzeuge (Backer)]]/$T$24*$H$24</f>
        <v>94.55291005291005</v>
      </c>
      <c r="I5" s="11">
        <f>Tabelle3[[#This Row],[Mythos (€)]]/$U$24*$I$24</f>
        <v>16016.162090014017</v>
      </c>
      <c r="J5" s="11">
        <f>Tabelle3[[#This Row],[Mythos (Backer)]]/$V$24*$J$24</f>
        <v>97.609001406469758</v>
      </c>
      <c r="K5" s="4">
        <f>Tabelle3[[#This Row],[DSK (€)]]/$W$24*$I$24</f>
        <v>21471.044620079439</v>
      </c>
      <c r="L5" s="4">
        <f>Tabelle3[[#This Row],[DSK (Backer)]]/$X$24*$L$24</f>
        <v>123.24847560975608</v>
      </c>
      <c r="M5" s="4">
        <f>Tabelle3[[#This Row],[Mythen (€)]]/$Y$24*$M$24</f>
        <v>16993.672736969591</v>
      </c>
      <c r="N5" s="4">
        <f>Tabelle3[[#This Row],[Mythen (Backer)]]/$Z$24*$N$24</f>
        <v>101.44153225806453</v>
      </c>
      <c r="O5" s="4">
        <f>Tabelle3[[#This Row],[SOK (€)]]/$AA$24*$M$24</f>
        <v>29715.190707727812</v>
      </c>
      <c r="P5" s="4">
        <f>Tabelle3[[#This Row],[SOK (Backer)]]/$AB$24*$N$24</f>
        <v>164.53305288461539</v>
      </c>
      <c r="Q5" s="10">
        <f>Q4+($Q$14-$Q$4)/10</f>
        <v>71000</v>
      </c>
      <c r="R5" s="10">
        <f>R4+($R$14-$R$4)/10</f>
        <v>540</v>
      </c>
      <c r="S5" s="3">
        <v>49522</v>
      </c>
      <c r="T5" s="3">
        <v>206</v>
      </c>
      <c r="U5" s="10">
        <f>U4+($U$6-$U$3)/3</f>
        <v>30666.666666666668</v>
      </c>
      <c r="V5" s="10">
        <f>V4+($V$6-$V$3)/3</f>
        <v>200</v>
      </c>
      <c r="W5" s="50">
        <v>42659</v>
      </c>
      <c r="X5" s="50">
        <v>233</v>
      </c>
      <c r="Y5" s="50">
        <v>24532</v>
      </c>
      <c r="Z5" s="50">
        <v>145</v>
      </c>
      <c r="AA5" s="50">
        <v>114003</v>
      </c>
      <c r="AB5" s="50">
        <v>789</v>
      </c>
      <c r="AC5" s="50">
        <f>'Rohals Erben'!Z183</f>
        <v>96328</v>
      </c>
      <c r="AD5" s="50">
        <f>'Rohals Erben'!AA183</f>
        <v>404</v>
      </c>
      <c r="AE5" s="9">
        <f>Tabelle3[[#This Row],[Nedime (€)]]/C$24</f>
        <v>0.2688908493062796</v>
      </c>
      <c r="AF5" s="9">
        <f>Tabelle3[[#This Row],[Nedime (Backer)]]/D$24</f>
        <v>0.23631123919308358</v>
      </c>
      <c r="AG5" s="9"/>
      <c r="AH5" s="9"/>
      <c r="AI5" s="9">
        <f>Tabelle3[[#This Row],[Werkzeuge (€)]]/S$24</f>
        <v>0.29038178502530182</v>
      </c>
      <c r="AJ5" s="9">
        <f>Tabelle3[[#This Row],[Werkzeuge (Backer)]]/T$24</f>
        <v>0.2724867724867725</v>
      </c>
      <c r="AK5" s="9"/>
      <c r="AL5" s="9"/>
      <c r="AN5"/>
      <c r="AO5"/>
      <c r="AP5"/>
      <c r="AQ5"/>
      <c r="AR5"/>
      <c r="AS5"/>
      <c r="AT5"/>
      <c r="AU5"/>
      <c r="AV5"/>
      <c r="AW5"/>
      <c r="AX5"/>
      <c r="AY5"/>
    </row>
    <row r="6" spans="2:54" ht="15.75" thickBot="1" x14ac:dyDescent="0.3">
      <c r="B6">
        <v>3</v>
      </c>
      <c r="C6" s="3">
        <v>17674</v>
      </c>
      <c r="D6" s="3">
        <v>90</v>
      </c>
      <c r="E6" s="11">
        <f t="shared" si="0"/>
        <v>18030.90057504291</v>
      </c>
      <c r="F6" s="11">
        <f t="shared" ref="F6:F13" si="1">F5+($F$14-$F$4)/10</f>
        <v>128.02798982188295</v>
      </c>
      <c r="G6" s="4">
        <f>Tabelle3[[#This Row],[Werkzeuge (€)]]/$S$24*$G$24</f>
        <v>19704.691804316852</v>
      </c>
      <c r="H6" s="4">
        <f>Tabelle3[[#This Row],[Werkzeuge (Backer)]]/$T$24*$H$24</f>
        <v>102.81481481481481</v>
      </c>
      <c r="I6" s="4">
        <f>Tabelle3[[#This Row],[Mythos (€)]]/$U$24*$I$24</f>
        <v>24024.243135021028</v>
      </c>
      <c r="J6" s="4">
        <f>Tabelle3[[#This Row],[Mythos (Backer)]]/$V$24*$J$24</f>
        <v>146.41350210970464</v>
      </c>
      <c r="K6" s="4">
        <f>Tabelle3[[#This Row],[DSK (€)]]/$W$24*$I$24</f>
        <v>22786.717998191623</v>
      </c>
      <c r="L6" s="4">
        <f>Tabelle3[[#This Row],[DSK (Backer)]]/$X$24*$L$24</f>
        <v>131.1829268292683</v>
      </c>
      <c r="M6" s="4">
        <f>Tabelle3[[#This Row],[Mythen (€)]]/$Y$24*$M$24</f>
        <v>19168.103632181865</v>
      </c>
      <c r="N6" s="4">
        <f>Tabelle3[[#This Row],[Mythen (Backer)]]/$Z$24*$N$24</f>
        <v>113.33467741935483</v>
      </c>
      <c r="O6" s="4">
        <f>Tabelle3[[#This Row],[SOK (€)]]/$AA$24*$M$24</f>
        <v>31934.909171864809</v>
      </c>
      <c r="P6" s="4">
        <f>Tabelle3[[#This Row],[SOK (Backer)]]/$AB$24*$N$24</f>
        <v>177.67067307692307</v>
      </c>
      <c r="Q6" s="10">
        <f t="shared" ref="Q6:Q13" si="2">Q5+($Q$14-$Q$4)/10</f>
        <v>77000</v>
      </c>
      <c r="R6" s="10">
        <f t="shared" ref="R6:R13" si="3">R5+($R$14-$R$4)/10</f>
        <v>580</v>
      </c>
      <c r="S6" s="3">
        <v>53901</v>
      </c>
      <c r="T6" s="3">
        <v>224</v>
      </c>
      <c r="U6" s="3">
        <v>46000</v>
      </c>
      <c r="V6" s="3">
        <v>300</v>
      </c>
      <c r="W6" s="50">
        <v>45273</v>
      </c>
      <c r="X6" s="50">
        <v>248</v>
      </c>
      <c r="Y6" s="50">
        <v>27671</v>
      </c>
      <c r="Z6" s="50">
        <v>162</v>
      </c>
      <c r="AA6" s="50">
        <v>122519</v>
      </c>
      <c r="AB6" s="50">
        <v>852</v>
      </c>
      <c r="AC6" s="50">
        <f>'Rohals Erben'!Z184</f>
        <v>115147</v>
      </c>
      <c r="AD6" s="50">
        <f>'Rohals Erben'!AA184</f>
        <v>480</v>
      </c>
      <c r="AE6" s="9">
        <f>Tabelle3[[#This Row],[Nedime (€)]]/C$24</f>
        <v>0.2834870478787393</v>
      </c>
      <c r="AF6" s="9">
        <f>Tabelle3[[#This Row],[Nedime (Backer)]]/D$24</f>
        <v>0.25936599423631124</v>
      </c>
      <c r="AG6" s="9"/>
      <c r="AH6" s="9"/>
      <c r="AI6" s="9">
        <f>Tabelle3[[#This Row],[Werkzeuge (€)]]/S$24</f>
        <v>0.31605889492849226</v>
      </c>
      <c r="AJ6" s="9">
        <f>Tabelle3[[#This Row],[Werkzeuge (Backer)]]/T$24</f>
        <v>0.29629629629629628</v>
      </c>
      <c r="AK6" s="9">
        <f>Tabelle3[[#This Row],[Mythos (€)]]/U$24</f>
        <v>0.38534354214485567</v>
      </c>
      <c r="AL6" s="9">
        <f>Tabelle3[[#This Row],[Mythos (Backer)]]/V$24</f>
        <v>0.4219409282700422</v>
      </c>
      <c r="AO6" s="8"/>
      <c r="AQ6" s="8"/>
      <c r="AS6" s="20"/>
      <c r="AU6" s="8"/>
      <c r="AW6" s="8"/>
      <c r="AY6" s="8"/>
    </row>
    <row r="7" spans="2:54" x14ac:dyDescent="0.25">
      <c r="B7">
        <v>4</v>
      </c>
      <c r="C7" s="3">
        <v>18881</v>
      </c>
      <c r="D7" s="3">
        <v>95</v>
      </c>
      <c r="E7" s="11">
        <f t="shared" si="0"/>
        <v>19435.905814656642</v>
      </c>
      <c r="F7" s="11">
        <f t="shared" si="1"/>
        <v>136.85750636132315</v>
      </c>
      <c r="G7" s="4">
        <f>Tabelle3[[#This Row],[Werkzeuge (€)]]/$S$24*$G$24</f>
        <v>21920.78875461033</v>
      </c>
      <c r="H7" s="4">
        <f>Tabelle3[[#This Row],[Werkzeuge (Backer)]]/$T$24*$H$24</f>
        <v>113.37169312169313</v>
      </c>
      <c r="I7" s="11">
        <f>Tabelle3[[#This Row],[Mythos (€)]]/$U$24*$I$24</f>
        <v>26153.174071964302</v>
      </c>
      <c r="J7" s="11">
        <f>Tabelle3[[#This Row],[Mythos (Backer)]]/$V$24*$J$24</f>
        <v>157.55719643694326</v>
      </c>
      <c r="K7" s="4">
        <f>Tabelle3[[#This Row],[DSK (€)]]/$W$24*$I$24</f>
        <v>24137.623639680951</v>
      </c>
      <c r="L7" s="4">
        <f>Tabelle3[[#This Row],[DSK (Backer)]]/$X$24*$L$24</f>
        <v>139.64634146341464</v>
      </c>
      <c r="M7" s="4">
        <f>Tabelle3[[#This Row],[Mythen (€)]]/$Y$24*$M$24</f>
        <v>21005.875268052576</v>
      </c>
      <c r="N7" s="4">
        <f>Tabelle3[[#This Row],[Mythen (Backer)]]/$Z$24*$N$24</f>
        <v>124.52822580645162</v>
      </c>
      <c r="O7" s="4">
        <f>Tabelle3[[#This Row],[SOK (€)]]/$AA$24*$M$24</f>
        <v>33260.328193722096</v>
      </c>
      <c r="P7" s="4">
        <f>Tabelle3[[#This Row],[SOK (Backer)]]/$AB$24*$N$24</f>
        <v>185.80348557692307</v>
      </c>
      <c r="Q7" s="10">
        <f t="shared" si="2"/>
        <v>83000</v>
      </c>
      <c r="R7" s="10">
        <f t="shared" si="3"/>
        <v>620</v>
      </c>
      <c r="S7" s="3">
        <v>59963</v>
      </c>
      <c r="T7" s="3">
        <v>247</v>
      </c>
      <c r="U7" s="10">
        <f>U6+($U$24-$U$6)/18</f>
        <v>50076.333333333336</v>
      </c>
      <c r="V7" s="10">
        <f>V6+($V$24-$V$6)/18</f>
        <v>322.83333333333331</v>
      </c>
      <c r="W7" s="50">
        <v>47957</v>
      </c>
      <c r="X7" s="50">
        <v>264</v>
      </c>
      <c r="Y7" s="50">
        <v>30324</v>
      </c>
      <c r="Z7" s="50">
        <v>178</v>
      </c>
      <c r="AA7" s="50">
        <v>127604</v>
      </c>
      <c r="AB7" s="50">
        <v>891</v>
      </c>
      <c r="AC7" s="50">
        <f>'Rohals Erben'!Z185</f>
        <v>123834</v>
      </c>
      <c r="AD7" s="50">
        <f>'Rohals Erben'!AA185</f>
        <v>520</v>
      </c>
      <c r="AE7" s="9">
        <f>Tabelle3[[#This Row],[Nedime (€)]]/C$24</f>
        <v>0.30284706071056222</v>
      </c>
      <c r="AF7" s="9">
        <f>Tabelle3[[#This Row],[Nedime (Backer)]]/D$24</f>
        <v>0.2737752161383285</v>
      </c>
      <c r="AG7" s="9"/>
      <c r="AH7" s="9"/>
      <c r="AI7" s="9">
        <f>Tabelle3[[#This Row],[Werkzeuge (€)]]/S$24</f>
        <v>0.35160459948047684</v>
      </c>
      <c r="AJ7" s="9">
        <f>Tabelle3[[#This Row],[Werkzeuge (Backer)]]/T$24</f>
        <v>0.32671957671957674</v>
      </c>
      <c r="AK7" s="9"/>
      <c r="AL7" s="9"/>
      <c r="AN7" s="25" t="s">
        <v>59</v>
      </c>
      <c r="AO7" s="31" t="s">
        <v>59</v>
      </c>
      <c r="AP7" s="32" t="s">
        <v>59</v>
      </c>
      <c r="AQ7" s="31" t="s">
        <v>59</v>
      </c>
      <c r="AR7" s="32" t="s">
        <v>59</v>
      </c>
      <c r="AS7" s="31" t="s">
        <v>59</v>
      </c>
      <c r="AT7" s="32" t="s">
        <v>59</v>
      </c>
      <c r="AU7" s="26" t="s">
        <v>59</v>
      </c>
      <c r="AV7" s="32" t="s">
        <v>59</v>
      </c>
      <c r="AW7" s="26" t="s">
        <v>59</v>
      </c>
      <c r="AX7" s="32" t="s">
        <v>59</v>
      </c>
      <c r="AY7" s="26" t="s">
        <v>59</v>
      </c>
      <c r="BA7" t="s">
        <v>20</v>
      </c>
      <c r="BB7" t="s">
        <v>93</v>
      </c>
    </row>
    <row r="8" spans="2:54" x14ac:dyDescent="0.25">
      <c r="B8">
        <v>5</v>
      </c>
      <c r="C8" s="3">
        <v>21886</v>
      </c>
      <c r="D8" s="3">
        <v>111</v>
      </c>
      <c r="E8" s="11">
        <f t="shared" si="0"/>
        <v>20840.911054270375</v>
      </c>
      <c r="F8" s="11">
        <f t="shared" si="1"/>
        <v>145.68702290076334</v>
      </c>
      <c r="G8" s="4">
        <f>Tabelle3[[#This Row],[Werkzeuge (€)]]/$S$24*$G$24</f>
        <v>23073.071431503275</v>
      </c>
      <c r="H8" s="4">
        <f>Tabelle3[[#This Row],[Werkzeuge (Backer)]]/$T$24*$H$24</f>
        <v>121.17460317460316</v>
      </c>
      <c r="I8" s="11">
        <f>Tabelle3[[#This Row],[Mythos (€)]]/$U$24*$I$24</f>
        <v>28282.10500890758</v>
      </c>
      <c r="J8" s="11">
        <f>Tabelle3[[#This Row],[Mythos (Backer)]]/$V$24*$J$24</f>
        <v>168.70089076418188</v>
      </c>
      <c r="K8" s="4">
        <f>Tabelle3[[#This Row],[DSK (€)]]/$W$24*$I$24</f>
        <v>25549.934083056156</v>
      </c>
      <c r="L8" s="4">
        <f>Tabelle3[[#This Row],[DSK (Backer)]]/$X$24*$L$24</f>
        <v>148.10975609756096</v>
      </c>
      <c r="M8" s="4">
        <f>Tabelle3[[#This Row],[Mythen (€)]]/$Y$24*$M$24</f>
        <v>22597.040532882966</v>
      </c>
      <c r="N8" s="4">
        <f>Tabelle3[[#This Row],[Mythen (Backer)]]/$Z$24*$N$24</f>
        <v>133.62298387096774</v>
      </c>
      <c r="O8" s="4">
        <f>Tabelle3[[#This Row],[SOK (€)]]/$AA$24*$M$24</f>
        <v>34216.923633292638</v>
      </c>
      <c r="P8" s="4">
        <f>Tabelle3[[#This Row],[SOK (Backer)]]/$AB$24*$N$24</f>
        <v>191.43389423076923</v>
      </c>
      <c r="Q8" s="10">
        <f t="shared" si="2"/>
        <v>89000</v>
      </c>
      <c r="R8" s="10">
        <f t="shared" si="3"/>
        <v>660</v>
      </c>
      <c r="S8" s="3">
        <v>63115</v>
      </c>
      <c r="T8" s="3">
        <v>264</v>
      </c>
      <c r="U8" s="10">
        <f t="shared" ref="U8:U23" si="4">U7+($U$24-$U$6)/18</f>
        <v>54152.666666666672</v>
      </c>
      <c r="V8" s="10">
        <f t="shared" ref="V8:V23" si="5">V7+($V$24-$V$6)/18</f>
        <v>345.66666666666663</v>
      </c>
      <c r="W8" s="50">
        <v>50763</v>
      </c>
      <c r="X8" s="50">
        <v>280</v>
      </c>
      <c r="Y8" s="50">
        <v>32621</v>
      </c>
      <c r="Z8" s="50">
        <v>191</v>
      </c>
      <c r="AA8" s="50">
        <v>131274</v>
      </c>
      <c r="AB8" s="50">
        <v>918</v>
      </c>
      <c r="AC8" s="50">
        <f>'Rohals Erben'!Z186</f>
        <v>132002</v>
      </c>
      <c r="AD8" s="50">
        <f>'Rohals Erben'!AA186</f>
        <v>564</v>
      </c>
      <c r="AE8" s="9">
        <f>Tabelle3[[#This Row],[Nedime (€)]]/C$24</f>
        <v>0.35104659555698131</v>
      </c>
      <c r="AF8" s="9">
        <f>Tabelle3[[#This Row],[Nedime (Backer)]]/D$24</f>
        <v>0.31988472622478387</v>
      </c>
      <c r="AG8" s="9"/>
      <c r="AH8" s="9"/>
      <c r="AI8" s="9">
        <f>Tabelle3[[#This Row],[Werkzeuge (€)]]/S$24</f>
        <v>0.37008695856128437</v>
      </c>
      <c r="AJ8" s="9">
        <f>Tabelle3[[#This Row],[Werkzeuge (Backer)]]/T$24</f>
        <v>0.34920634920634919</v>
      </c>
      <c r="AK8" s="9"/>
      <c r="AL8" s="9"/>
      <c r="AN8" s="27" t="s">
        <v>82</v>
      </c>
      <c r="AO8" s="33" t="s">
        <v>83</v>
      </c>
      <c r="AP8" s="34" t="s">
        <v>80</v>
      </c>
      <c r="AQ8" s="33" t="s">
        <v>81</v>
      </c>
      <c r="AR8" s="34" t="s">
        <v>124</v>
      </c>
      <c r="AS8" s="33" t="s">
        <v>125</v>
      </c>
      <c r="AT8" s="34" t="s">
        <v>88</v>
      </c>
      <c r="AU8" s="28" t="s">
        <v>89</v>
      </c>
      <c r="AV8" s="34" t="s">
        <v>154</v>
      </c>
      <c r="AW8" s="28" t="s">
        <v>155</v>
      </c>
      <c r="AX8" s="34" t="s">
        <v>271</v>
      </c>
      <c r="AY8" s="28" t="s">
        <v>272</v>
      </c>
      <c r="AZ8" s="16" t="s">
        <v>91</v>
      </c>
      <c r="BA8" s="23">
        <f>MIN(AN9,AP9,AR9,AT9,AV9,AX9)</f>
        <v>2.6654928400289744</v>
      </c>
      <c r="BB8" s="23">
        <f>MIN(AO9,AQ9,AS9,AU9,AW9,AY9)</f>
        <v>2.6623999999999999</v>
      </c>
    </row>
    <row r="9" spans="2:54" x14ac:dyDescent="0.25">
      <c r="B9">
        <v>6</v>
      </c>
      <c r="C9" s="3">
        <v>22571</v>
      </c>
      <c r="D9" s="3">
        <v>114.99999999999999</v>
      </c>
      <c r="E9" s="11">
        <f t="shared" si="0"/>
        <v>22245.916293884107</v>
      </c>
      <c r="F9" s="11">
        <f t="shared" si="1"/>
        <v>154.51653944020353</v>
      </c>
      <c r="G9" s="4">
        <f>Tabelle3[[#This Row],[Werkzeuge (€)]]/$S$24*$G$24</f>
        <v>23816.279135222616</v>
      </c>
      <c r="H9" s="4">
        <f>Tabelle3[[#This Row],[Werkzeuge (Backer)]]/$T$24*$H$24</f>
        <v>125.76455026455027</v>
      </c>
      <c r="I9" s="11">
        <f>Tabelle3[[#This Row],[Mythos (€)]]/$U$24*$I$24</f>
        <v>30411.035945850857</v>
      </c>
      <c r="J9" s="11">
        <f>Tabelle3[[#This Row],[Mythos (Backer)]]/$V$24*$J$24</f>
        <v>179.84458509142053</v>
      </c>
      <c r="K9" s="4">
        <f>Tabelle3[[#This Row],[DSK (€)]]/$W$24*$I$24</f>
        <v>27093.107218975038</v>
      </c>
      <c r="L9" s="4">
        <f>Tabelle3[[#This Row],[DSK (Backer)]]/$X$24*$L$24</f>
        <v>155.51524390243904</v>
      </c>
      <c r="M9" s="4">
        <f>Tabelle3[[#This Row],[Mythen (€)]]/$Y$24*$M$24</f>
        <v>25963.633126298595</v>
      </c>
      <c r="N9" s="4">
        <f>Tabelle3[[#This Row],[Mythen (Backer)]]/$Z$24*$N$24</f>
        <v>153.91129032258064</v>
      </c>
      <c r="O9" s="4">
        <f>Tabelle3[[#This Row],[SOK (€)]]/$AA$24*$M$24</f>
        <v>35342.682680569254</v>
      </c>
      <c r="P9" s="4">
        <f>Tabelle3[[#This Row],[SOK (Backer)]]/$AB$24*$N$24</f>
        <v>198.73257211538461</v>
      </c>
      <c r="Q9" s="10">
        <f t="shared" si="2"/>
        <v>95000</v>
      </c>
      <c r="R9" s="10">
        <f t="shared" si="3"/>
        <v>700</v>
      </c>
      <c r="S9" s="3">
        <v>65148</v>
      </c>
      <c r="T9" s="3">
        <v>274</v>
      </c>
      <c r="U9" s="10">
        <f t="shared" si="4"/>
        <v>58229.000000000007</v>
      </c>
      <c r="V9" s="10">
        <f t="shared" si="5"/>
        <v>368.49999999999994</v>
      </c>
      <c r="W9" s="50">
        <v>53829</v>
      </c>
      <c r="X9" s="50">
        <v>294</v>
      </c>
      <c r="Y9" s="50">
        <v>37481</v>
      </c>
      <c r="Z9" s="50">
        <v>220</v>
      </c>
      <c r="AA9" s="50">
        <v>135593</v>
      </c>
      <c r="AB9" s="50">
        <v>953</v>
      </c>
      <c r="AC9" s="50">
        <f>'Rohals Erben'!Z187</f>
        <v>150957</v>
      </c>
      <c r="AD9" s="50">
        <f>'Rohals Erben'!AA187</f>
        <v>652</v>
      </c>
      <c r="AE9" s="9">
        <f>Tabelle3[[#This Row],[Nedime (€)]]/C$24</f>
        <v>0.36203384393295374</v>
      </c>
      <c r="AF9" s="9">
        <f>Tabelle3[[#This Row],[Nedime (Backer)]]/D$24</f>
        <v>0.33141210374639768</v>
      </c>
      <c r="AG9" s="9"/>
      <c r="AH9" s="9"/>
      <c r="AI9" s="9">
        <f>Tabelle3[[#This Row],[Werkzeuge (€)]]/S$24</f>
        <v>0.38200784562070117</v>
      </c>
      <c r="AJ9" s="9">
        <f>Tabelle3[[#This Row],[Werkzeuge (Backer)]]/T$24</f>
        <v>0.36243386243386244</v>
      </c>
      <c r="AK9" s="9"/>
      <c r="AL9" s="9"/>
      <c r="AN9" s="27">
        <f>C24/C4</f>
        <v>4.2207704285424139</v>
      </c>
      <c r="AO9" s="33">
        <f>D24/D4</f>
        <v>4.7534246575342465</v>
      </c>
      <c r="AP9" s="34">
        <f>Q24/Q4</f>
        <v>4.0960153846153844</v>
      </c>
      <c r="AQ9" s="33">
        <f>R24/R4</f>
        <v>3.1440000000000001</v>
      </c>
      <c r="AR9" s="34">
        <f>S24/S4</f>
        <v>3.9261689343186683</v>
      </c>
      <c r="AS9" s="33">
        <f>T24/T4</f>
        <v>4.2234636871508382</v>
      </c>
      <c r="AT9" s="53">
        <f t="shared" ref="AT9:AY9" si="6">W24/W4</f>
        <v>3.4027800670292843</v>
      </c>
      <c r="AU9" s="54">
        <f t="shared" si="6"/>
        <v>3.3641025641025641</v>
      </c>
      <c r="AV9" s="53">
        <f t="shared" si="6"/>
        <v>4.589078115439527</v>
      </c>
      <c r="AW9" s="54">
        <f t="shared" si="6"/>
        <v>4.3130434782608695</v>
      </c>
      <c r="AX9" s="53">
        <f t="shared" si="6"/>
        <v>2.6654928400289744</v>
      </c>
      <c r="AY9" s="54">
        <f t="shared" si="6"/>
        <v>2.6623999999999999</v>
      </c>
      <c r="AZ9" t="s">
        <v>92</v>
      </c>
      <c r="BA9" s="24">
        <f>MAX(AN9,AP9,AR9,AT9,AV9,AX9)</f>
        <v>4.589078115439527</v>
      </c>
      <c r="BB9" s="24">
        <f>MAX(,AO9,AQ9,AS9,AU9,AW9,AY9)</f>
        <v>4.7534246575342465</v>
      </c>
    </row>
    <row r="10" spans="2:54" ht="15.75" thickBot="1" x14ac:dyDescent="0.3">
      <c r="B10">
        <v>7</v>
      </c>
      <c r="C10" s="3">
        <v>24180</v>
      </c>
      <c r="D10" s="3">
        <v>124</v>
      </c>
      <c r="E10" s="11">
        <f t="shared" si="0"/>
        <v>23650.92153349784</v>
      </c>
      <c r="F10" s="11">
        <f t="shared" si="1"/>
        <v>163.34605597964372</v>
      </c>
      <c r="G10" s="4">
        <f>Tabelle3[[#This Row],[Werkzeuge (€)]]/$S$24*$G$24</f>
        <v>25452.213456001784</v>
      </c>
      <c r="H10" s="4">
        <f>Tabelle3[[#This Row],[Werkzeuge (Backer)]]/$T$24*$H$24</f>
        <v>135.40343915343917</v>
      </c>
      <c r="I10" s="11">
        <f>Tabelle3[[#This Row],[Mythos (€)]]/$U$24*$I$24</f>
        <v>32539.966882794135</v>
      </c>
      <c r="J10" s="11">
        <f>Tabelle3[[#This Row],[Mythos (Backer)]]/$V$24*$J$24</f>
        <v>190.98827941865915</v>
      </c>
      <c r="K10" s="4">
        <f>Tabelle3[[#This Row],[DSK (€)]]/$W$24*$I$24</f>
        <v>28176.247658798078</v>
      </c>
      <c r="L10" s="4">
        <f>Tabelle3[[#This Row],[DSK (Backer)]]/$X$24*$L$24</f>
        <v>162.92073170731706</v>
      </c>
      <c r="M10" s="4">
        <f>Tabelle3[[#This Row],[Mythen (€)]]/$Y$24*$M$24</f>
        <v>27863.056354929391</v>
      </c>
      <c r="N10" s="4">
        <f>Tabelle3[[#This Row],[Mythen (Backer)]]/$Z$24*$N$24</f>
        <v>165.10483870967744</v>
      </c>
      <c r="O10" s="4">
        <f>Tabelle3[[#This Row],[SOK (€)]]/$AA$24*$M$24</f>
        <v>38393.361978861816</v>
      </c>
      <c r="P10" s="4">
        <f>Tabelle3[[#This Row],[SOK (Backer)]]/$AB$24*$N$24</f>
        <v>217.70913461538461</v>
      </c>
      <c r="Q10" s="10">
        <f t="shared" si="2"/>
        <v>101000</v>
      </c>
      <c r="R10" s="10">
        <f t="shared" si="3"/>
        <v>740</v>
      </c>
      <c r="S10" s="3">
        <v>69623</v>
      </c>
      <c r="T10" s="3">
        <v>295</v>
      </c>
      <c r="U10" s="10">
        <f t="shared" si="4"/>
        <v>62305.333333333343</v>
      </c>
      <c r="V10" s="10">
        <f t="shared" si="5"/>
        <v>391.33333333333326</v>
      </c>
      <c r="W10" s="50">
        <v>55981</v>
      </c>
      <c r="X10" s="50">
        <v>308</v>
      </c>
      <c r="Y10" s="50">
        <v>40223</v>
      </c>
      <c r="Z10" s="50">
        <v>236</v>
      </c>
      <c r="AA10" s="50">
        <v>147297</v>
      </c>
      <c r="AB10" s="50">
        <v>1044</v>
      </c>
      <c r="AC10" s="50">
        <f>'Rohals Erben'!Z188</f>
        <v>164491</v>
      </c>
      <c r="AD10" s="50">
        <f>'Rohals Erben'!AA188</f>
        <v>709</v>
      </c>
      <c r="AE10" s="9">
        <f>Tabelle3[[#This Row],[Nedime (€)]]/C$24</f>
        <v>0.38784184778250058</v>
      </c>
      <c r="AF10" s="9">
        <f>Tabelle3[[#This Row],[Nedime (Backer)]]/D$24</f>
        <v>0.35734870317002881</v>
      </c>
      <c r="AG10" s="9"/>
      <c r="AH10" s="9"/>
      <c r="AI10" s="9">
        <f>Tabelle3[[#This Row],[Werkzeuge (€)]]/S$24</f>
        <v>0.40824787001366242</v>
      </c>
      <c r="AJ10" s="9">
        <f>Tabelle3[[#This Row],[Werkzeuge (Backer)]]/T$24</f>
        <v>0.39021164021164023</v>
      </c>
      <c r="AK10" s="9"/>
      <c r="AL10" s="9"/>
      <c r="AN10" s="29"/>
      <c r="AO10" s="35">
        <f>AN9-AO9</f>
        <v>-0.53265422899183257</v>
      </c>
      <c r="AP10" s="36"/>
      <c r="AQ10" s="35">
        <f>AP9-AQ9</f>
        <v>0.95201538461538426</v>
      </c>
      <c r="AR10" s="36"/>
      <c r="AS10" s="35">
        <f>AR9-AS9</f>
        <v>-0.29729475283216988</v>
      </c>
      <c r="AT10" s="36"/>
      <c r="AU10" s="30">
        <f>AT9-AU9</f>
        <v>3.867750292672012E-2</v>
      </c>
      <c r="AV10" s="36"/>
      <c r="AW10" s="30">
        <f>AV9-AW9</f>
        <v>0.2760346371786575</v>
      </c>
      <c r="AX10" s="36"/>
      <c r="AY10" s="30">
        <f>AX9-AY9</f>
        <v>3.0928400289744751E-3</v>
      </c>
    </row>
    <row r="11" spans="2:54" ht="15.75" thickBot="1" x14ac:dyDescent="0.3">
      <c r="B11">
        <v>8</v>
      </c>
      <c r="C11" s="3">
        <v>26679</v>
      </c>
      <c r="D11" s="3">
        <v>136</v>
      </c>
      <c r="E11" s="11">
        <f t="shared" si="0"/>
        <v>25055.926773111572</v>
      </c>
      <c r="F11" s="11">
        <f t="shared" si="1"/>
        <v>172.17557251908391</v>
      </c>
      <c r="G11" s="4">
        <f>Tabelle3[[#This Row],[Werkzeuge (€)]]/$S$24*$G$24</f>
        <v>26607.420708216792</v>
      </c>
      <c r="H11" s="4">
        <f>Tabelle3[[#This Row],[Werkzeuge (Backer)]]/$T$24*$H$24</f>
        <v>141.37037037037035</v>
      </c>
      <c r="I11" s="11">
        <f>Tabelle3[[#This Row],[Mythos (€)]]/$U$24*$I$24</f>
        <v>34668.897819737409</v>
      </c>
      <c r="J11" s="11">
        <f>Tabelle3[[#This Row],[Mythos (Backer)]]/$V$24*$J$24</f>
        <v>202.13197374589777</v>
      </c>
      <c r="K11" s="4">
        <f>Tabelle3[[#This Row],[DSK (€)]]/$W$24*$I$24</f>
        <v>29592.58464655924</v>
      </c>
      <c r="L11" s="4">
        <f>Tabelle3[[#This Row],[DSK (Backer)]]/$X$24*$L$24</f>
        <v>171.91310975609755</v>
      </c>
      <c r="M11" s="4">
        <f>Tabelle3[[#This Row],[Mythen (€)]]/$Y$24*$M$24</f>
        <v>30317.343918400908</v>
      </c>
      <c r="N11" s="4">
        <f>Tabelle3[[#This Row],[Mythen (Backer)]]/$Z$24*$N$24</f>
        <v>176.99798387096777</v>
      </c>
      <c r="O11" s="4">
        <f>Tabelle3[[#This Row],[SOK (€)]]/$AA$24*$M$24</f>
        <v>40180.657599879589</v>
      </c>
      <c r="P11" s="4">
        <f>Tabelle3[[#This Row],[SOK (Backer)]]/$AB$24*$N$24</f>
        <v>226.05048076923077</v>
      </c>
      <c r="Q11" s="10">
        <f t="shared" si="2"/>
        <v>107000</v>
      </c>
      <c r="R11" s="10">
        <f t="shared" si="3"/>
        <v>780</v>
      </c>
      <c r="S11" s="3">
        <v>72783</v>
      </c>
      <c r="T11" s="3">
        <v>308</v>
      </c>
      <c r="U11" s="10">
        <f t="shared" si="4"/>
        <v>66381.666666666672</v>
      </c>
      <c r="V11" s="10">
        <f t="shared" si="5"/>
        <v>414.16666666666657</v>
      </c>
      <c r="W11" s="50">
        <v>58795</v>
      </c>
      <c r="X11" s="50">
        <v>325</v>
      </c>
      <c r="Y11" s="50">
        <v>43766</v>
      </c>
      <c r="Z11" s="50">
        <v>253</v>
      </c>
      <c r="AA11" s="50">
        <v>154154</v>
      </c>
      <c r="AB11" s="50">
        <v>1084</v>
      </c>
      <c r="AC11" s="50">
        <f>'Rohals Erben'!Z189</f>
        <v>182858</v>
      </c>
      <c r="AD11" s="50">
        <f>'Rohals Erben'!AA189</f>
        <v>792</v>
      </c>
      <c r="AE11" s="9">
        <f>Tabelle3[[#This Row],[Nedime (€)]]/C$24</f>
        <v>0.42792525463148606</v>
      </c>
      <c r="AF11" s="9">
        <f>Tabelle3[[#This Row],[Nedime (Backer)]]/D$24</f>
        <v>0.39193083573487031</v>
      </c>
      <c r="AG11" s="9"/>
      <c r="AH11" s="9"/>
      <c r="AI11" s="9">
        <f>Tabelle3[[#This Row],[Werkzeuge (€)]]/S$24</f>
        <v>0.42677713863528416</v>
      </c>
      <c r="AJ11" s="9">
        <f>Tabelle3[[#This Row],[Werkzeuge (Backer)]]/T$24</f>
        <v>0.40740740740740738</v>
      </c>
      <c r="AK11" s="9"/>
      <c r="AL11" s="9"/>
    </row>
    <row r="12" spans="2:54" x14ac:dyDescent="0.25">
      <c r="B12">
        <v>9</v>
      </c>
      <c r="C12" s="3">
        <v>27868</v>
      </c>
      <c r="D12" s="3">
        <v>142</v>
      </c>
      <c r="E12" s="11">
        <f t="shared" si="0"/>
        <v>26460.932012725305</v>
      </c>
      <c r="F12" s="11">
        <f t="shared" si="1"/>
        <v>181.00508905852411</v>
      </c>
      <c r="G12" s="4">
        <f>Tabelle3[[#This Row],[Werkzeuge (€)]]/$S$24*$G$24</f>
        <v>28001.711993010478</v>
      </c>
      <c r="H12" s="4">
        <f>Tabelle3[[#This Row],[Werkzeuge (Backer)]]/$T$24*$H$24</f>
        <v>151.00925925925927</v>
      </c>
      <c r="I12" s="11">
        <f>Tabelle3[[#This Row],[Mythos (€)]]/$U$24*$I$24</f>
        <v>36797.828756680683</v>
      </c>
      <c r="J12" s="11">
        <f>Tabelle3[[#This Row],[Mythos (Backer)]]/$V$24*$J$24</f>
        <v>213.27566807313639</v>
      </c>
      <c r="K12" s="4">
        <f>Tabelle3[[#This Row],[DSK (€)]]/$W$24*$I$24</f>
        <v>31860.032453902542</v>
      </c>
      <c r="L12" s="4">
        <f>Tabelle3[[#This Row],[DSK (Backer)]]/$X$24*$L$24</f>
        <v>185.13719512195124</v>
      </c>
      <c r="M12" s="4">
        <f>Tabelle3[[#This Row],[Mythen (€)]]/$Y$24*$M$24</f>
        <v>31844.779446895034</v>
      </c>
      <c r="N12" s="4">
        <f>Tabelle3[[#This Row],[Mythen (Backer)]]/$Z$24*$N$24</f>
        <v>186.79233870967744</v>
      </c>
      <c r="O12" s="4">
        <f>Tabelle3[[#This Row],[SOK (€)]]/$AA$24*$M$24</f>
        <v>41350.466954863958</v>
      </c>
      <c r="P12" s="4">
        <f>Tabelle3[[#This Row],[SOK (Backer)]]/$AB$24*$N$24</f>
        <v>231.88942307692307</v>
      </c>
      <c r="Q12" s="10">
        <f t="shared" si="2"/>
        <v>113000</v>
      </c>
      <c r="R12" s="10">
        <f t="shared" si="3"/>
        <v>820</v>
      </c>
      <c r="S12" s="3">
        <v>76597</v>
      </c>
      <c r="T12" s="3">
        <v>329</v>
      </c>
      <c r="U12" s="10">
        <f t="shared" si="4"/>
        <v>70458</v>
      </c>
      <c r="V12" s="10">
        <f t="shared" si="5"/>
        <v>436.99999999999989</v>
      </c>
      <c r="W12" s="50">
        <v>63300</v>
      </c>
      <c r="X12" s="50">
        <v>350</v>
      </c>
      <c r="Y12" s="50">
        <v>45971</v>
      </c>
      <c r="Z12" s="50">
        <v>267</v>
      </c>
      <c r="AA12" s="50">
        <v>158642</v>
      </c>
      <c r="AB12" s="50">
        <v>1112</v>
      </c>
      <c r="AC12" s="50">
        <f>'Rohals Erben'!Z190</f>
        <v>195000</v>
      </c>
      <c r="AD12" s="50">
        <f>'Rohals Erben'!AA190</f>
        <v>851</v>
      </c>
      <c r="AE12" s="9">
        <f>Tabelle3[[#This Row],[Nedime (€)]]/C$24</f>
        <v>0.44699655144759004</v>
      </c>
      <c r="AF12" s="9">
        <f>Tabelle3[[#This Row],[Nedime (Backer)]]/D$24</f>
        <v>0.40922190201729108</v>
      </c>
      <c r="AG12" s="9"/>
      <c r="AH12" s="9"/>
      <c r="AI12" s="9">
        <f>Tabelle3[[#This Row],[Werkzeuge (€)]]/S$24</f>
        <v>0.44914126221846945</v>
      </c>
      <c r="AJ12" s="9">
        <f>Tabelle3[[#This Row],[Werkzeuge (Backer)]]/T$24</f>
        <v>0.43518518518518517</v>
      </c>
      <c r="AK12" s="9"/>
      <c r="AL12" s="9"/>
      <c r="AN12" s="25" t="s">
        <v>90</v>
      </c>
      <c r="AO12" s="31" t="s">
        <v>90</v>
      </c>
      <c r="AP12" s="60"/>
      <c r="AQ12" s="61"/>
      <c r="AR12" s="55" t="s">
        <v>90</v>
      </c>
      <c r="AS12" s="56" t="s">
        <v>90</v>
      </c>
      <c r="AT12" s="32" t="s">
        <v>90</v>
      </c>
      <c r="AU12" s="26" t="s">
        <v>90</v>
      </c>
      <c r="AV12" s="32" t="s">
        <v>90</v>
      </c>
      <c r="AW12" s="26" t="s">
        <v>90</v>
      </c>
      <c r="AX12" s="32" t="s">
        <v>90</v>
      </c>
      <c r="AY12" s="26" t="s">
        <v>90</v>
      </c>
    </row>
    <row r="13" spans="2:54" x14ac:dyDescent="0.25">
      <c r="B13">
        <v>10</v>
      </c>
      <c r="C13" s="3">
        <v>31587</v>
      </c>
      <c r="D13" s="3">
        <v>161</v>
      </c>
      <c r="E13" s="11">
        <f t="shared" si="0"/>
        <v>27865.937252339038</v>
      </c>
      <c r="F13" s="11">
        <f t="shared" si="1"/>
        <v>189.8346055979643</v>
      </c>
      <c r="G13" s="4">
        <f>Tabelle3[[#This Row],[Werkzeuge (€)]]/$S$24*$G$24</f>
        <v>29730.867152180414</v>
      </c>
      <c r="H13" s="4">
        <f>Tabelle3[[#This Row],[Werkzeuge (Backer)]]/$T$24*$H$24</f>
        <v>160.64814814814815</v>
      </c>
      <c r="I13" s="11">
        <f>Tabelle3[[#This Row],[Mythos (€)]]/$U$24*$I$24</f>
        <v>38926.759693623957</v>
      </c>
      <c r="J13" s="11">
        <f>Tabelle3[[#This Row],[Mythos (Backer)]]/$V$24*$J$24</f>
        <v>224.41936240037501</v>
      </c>
      <c r="K13" s="4">
        <f>Tabelle3[[#This Row],[DSK (€)]]/$W$24*$I$24</f>
        <v>33546.147915522975</v>
      </c>
      <c r="L13" s="4">
        <f>Tabelle3[[#This Row],[DSK (Backer)]]/$X$24*$L$24</f>
        <v>195.1875</v>
      </c>
      <c r="M13" s="4">
        <f>Tabelle3[[#This Row],[Mythen (€)]]/$Y$24*$M$24</f>
        <v>33841.182709081011</v>
      </c>
      <c r="N13" s="4">
        <f>Tabelle3[[#This Row],[Mythen (Backer)]]/$Z$24*$N$24</f>
        <v>197.28629032258067</v>
      </c>
      <c r="O13" s="4">
        <f>Tabelle3[[#This Row],[SOK (€)]]/$AA$24*$M$24</f>
        <v>42536.958083181431</v>
      </c>
      <c r="P13" s="4">
        <f>Tabelle3[[#This Row],[SOK (Backer)]]/$AB$24*$N$24</f>
        <v>237.72836538461539</v>
      </c>
      <c r="Q13" s="10">
        <f t="shared" si="2"/>
        <v>119000</v>
      </c>
      <c r="R13" s="10">
        <f t="shared" si="3"/>
        <v>860</v>
      </c>
      <c r="S13" s="3">
        <v>81327</v>
      </c>
      <c r="T13" s="3">
        <v>350</v>
      </c>
      <c r="U13" s="10">
        <f t="shared" si="4"/>
        <v>74534.333333333328</v>
      </c>
      <c r="V13" s="10">
        <f t="shared" si="5"/>
        <v>459.8333333333332</v>
      </c>
      <c r="W13" s="50">
        <v>66650</v>
      </c>
      <c r="X13" s="50">
        <v>369</v>
      </c>
      <c r="Y13" s="50">
        <v>48853</v>
      </c>
      <c r="Z13" s="50">
        <v>282</v>
      </c>
      <c r="AA13" s="50">
        <v>163194</v>
      </c>
      <c r="AB13" s="50">
        <v>1140</v>
      </c>
      <c r="AC13" s="50">
        <f>'Rohals Erben'!Z191</f>
        <v>203877</v>
      </c>
      <c r="AD13" s="50">
        <f>'Rohals Erben'!AA191</f>
        <v>893</v>
      </c>
      <c r="AE13" s="9">
        <f>Tabelle3[[#This Row],[Nedime (€)]]/C$24</f>
        <v>0.50664848825086217</v>
      </c>
      <c r="AF13" s="9">
        <f>Tabelle3[[#This Row],[Nedime (Backer)]]/D$24</f>
        <v>0.46397694524495675</v>
      </c>
      <c r="AG13" s="9"/>
      <c r="AH13" s="9"/>
      <c r="AI13" s="9">
        <f>Tabelle3[[#This Row],[Werkzeuge (€)]]/S$24</f>
        <v>0.47687652822488436</v>
      </c>
      <c r="AJ13" s="9">
        <f>Tabelle3[[#This Row],[Werkzeuge (Backer)]]/T$24</f>
        <v>0.46296296296296297</v>
      </c>
      <c r="AK13" s="9"/>
      <c r="AL13" s="9"/>
      <c r="AN13" s="27" t="s">
        <v>82</v>
      </c>
      <c r="AO13" s="33" t="s">
        <v>83</v>
      </c>
      <c r="AP13" s="52"/>
      <c r="AQ13" s="62"/>
      <c r="AR13" s="34" t="s">
        <v>124</v>
      </c>
      <c r="AS13" s="33" t="s">
        <v>125</v>
      </c>
      <c r="AT13" s="34" t="s">
        <v>88</v>
      </c>
      <c r="AU13" s="28" t="s">
        <v>89</v>
      </c>
      <c r="AV13" s="34" t="s">
        <v>154</v>
      </c>
      <c r="AW13" s="28" t="s">
        <v>155</v>
      </c>
      <c r="AX13" s="34" t="s">
        <v>271</v>
      </c>
      <c r="AY13" s="28" t="s">
        <v>272</v>
      </c>
      <c r="AZ13" s="16" t="s">
        <v>91</v>
      </c>
      <c r="BA13" s="23">
        <f>MIN(AN14,AP14,AR14,AT14,AV14,AX14)</f>
        <v>2.0980851381104006</v>
      </c>
      <c r="BB13" s="23">
        <f>MIN(AO14,AQ14,AS14,AU14,AW14,AY14)</f>
        <v>2.1089987325728772</v>
      </c>
    </row>
    <row r="14" spans="2:54" x14ac:dyDescent="0.25">
      <c r="B14">
        <v>11</v>
      </c>
      <c r="C14" s="3">
        <v>34703</v>
      </c>
      <c r="D14" s="3">
        <v>178</v>
      </c>
      <c r="E14" s="4">
        <f>Tabelle3[[#This Row],[Thorwal (€)]]/Q24*E24</f>
        <v>29270.942491952781</v>
      </c>
      <c r="F14" s="4">
        <f>Tabelle3[[#This Row],[Thorwal (Backer)]]/R24*F24</f>
        <v>198.66412213740458</v>
      </c>
      <c r="G14" s="4">
        <f>Tabelle3[[#This Row],[Werkzeuge (€)]]/$S$24*$G$24</f>
        <v>30365.134425152894</v>
      </c>
      <c r="H14" s="4">
        <f>Tabelle3[[#This Row],[Werkzeuge (Backer)]]/$T$24*$H$24</f>
        <v>163.40211640211641</v>
      </c>
      <c r="I14" s="11">
        <f>Tabelle3[[#This Row],[Mythos (€)]]/$U$24*$I$24</f>
        <v>41055.690630567231</v>
      </c>
      <c r="J14" s="11">
        <f>Tabelle3[[#This Row],[Mythos (Backer)]]/$V$24*$J$24</f>
        <v>235.56305672761363</v>
      </c>
      <c r="K14" s="4">
        <f>Tabelle3[[#This Row],[DSK (€)]]/$W$24*$I$24</f>
        <v>35065.161785126103</v>
      </c>
      <c r="L14" s="4">
        <f>Tabelle3[[#This Row],[DSK (Backer)]]/$X$24*$L$24</f>
        <v>204.17987804878047</v>
      </c>
      <c r="M14" s="4">
        <f>Tabelle3[[#This Row],[Mythen (€)]]/$Y$24*$M$24</f>
        <v>34832.457194920054</v>
      </c>
      <c r="N14" s="4">
        <f>Tabelle3[[#This Row],[Mythen (Backer)]]/$Z$24*$N$24</f>
        <v>203.58266129032256</v>
      </c>
      <c r="O14" s="4">
        <f>Tabelle3[[#This Row],[SOK (€)]]/$AA$24*$M$24</f>
        <v>43373.913929628579</v>
      </c>
      <c r="P14" s="4">
        <f>Tabelle3[[#This Row],[SOK (Backer)]]/$AB$24*$N$24</f>
        <v>242.52463942307693</v>
      </c>
      <c r="Q14" s="3">
        <v>125000</v>
      </c>
      <c r="R14" s="3">
        <v>900</v>
      </c>
      <c r="S14" s="3">
        <v>83062</v>
      </c>
      <c r="T14" s="3">
        <v>356</v>
      </c>
      <c r="U14" s="10">
        <f t="shared" si="4"/>
        <v>78610.666666666657</v>
      </c>
      <c r="V14" s="10">
        <f t="shared" si="5"/>
        <v>482.66666666666652</v>
      </c>
      <c r="W14" s="50">
        <v>69668</v>
      </c>
      <c r="X14" s="50">
        <v>386</v>
      </c>
      <c r="Y14" s="50">
        <v>50284</v>
      </c>
      <c r="Z14" s="50">
        <v>291</v>
      </c>
      <c r="AA14" s="50">
        <v>166405</v>
      </c>
      <c r="AB14" s="50">
        <v>1163</v>
      </c>
      <c r="AC14" s="50">
        <f>'Rohals Erben'!Z192</f>
        <v>212794</v>
      </c>
      <c r="AD14" s="50">
        <f>'Rohals Erben'!AA192</f>
        <v>935</v>
      </c>
      <c r="AE14" s="9">
        <f>Tabelle3[[#This Row],[Nedime (€)]]/C$24</f>
        <v>0.55662843852754829</v>
      </c>
      <c r="AF14" s="9">
        <f>Tabelle3[[#This Row],[Nedime (Backer)]]/D$24</f>
        <v>0.51296829971181557</v>
      </c>
      <c r="AG14" s="9">
        <f>Tabelle3[[#This Row],[Thorwal (€)]]/Q$24</f>
        <v>0.46949943847867159</v>
      </c>
      <c r="AH14" s="9">
        <f>Tabelle3[[#This Row],[Thorwal (Backer)]]/R$24</f>
        <v>0.5725190839694656</v>
      </c>
      <c r="AI14" s="9">
        <f>Tabelle3[[#This Row],[Werkzeuge (€)]]/S$24</f>
        <v>0.48705003488897097</v>
      </c>
      <c r="AJ14" s="9">
        <f>Tabelle3[[#This Row],[Werkzeuge (Backer)]]/T$24</f>
        <v>0.47089947089947087</v>
      </c>
      <c r="AK14" s="9"/>
      <c r="AL14" s="9"/>
      <c r="AN14" s="27">
        <f>C24/C5</f>
        <v>3.7189811500835122</v>
      </c>
      <c r="AO14" s="33">
        <f>D24/D5</f>
        <v>4.2317073170731705</v>
      </c>
      <c r="AP14" s="52"/>
      <c r="AQ14" s="62"/>
      <c r="AR14" s="53">
        <f>S24/S5</f>
        <v>3.4437421751948629</v>
      </c>
      <c r="AS14" s="57">
        <f>T24/T5</f>
        <v>3.6699029126213594</v>
      </c>
      <c r="AT14" s="53">
        <f t="shared" ref="AT14:AY14" si="7">W24/W5</f>
        <v>2.903678004641459</v>
      </c>
      <c r="AU14" s="54">
        <f t="shared" si="7"/>
        <v>2.8154506437768241</v>
      </c>
      <c r="AV14" s="53">
        <f t="shared" si="7"/>
        <v>3.6687184086091635</v>
      </c>
      <c r="AW14" s="54">
        <f t="shared" si="7"/>
        <v>3.420689655172414</v>
      </c>
      <c r="AX14" s="53">
        <f t="shared" si="7"/>
        <v>2.0980851381104006</v>
      </c>
      <c r="AY14" s="54">
        <f t="shared" si="7"/>
        <v>2.1089987325728772</v>
      </c>
      <c r="AZ14" t="s">
        <v>92</v>
      </c>
      <c r="BA14" s="24">
        <f>MAX(AN14,AP14,AR14,AT14,AV14,AX14)</f>
        <v>3.7189811500835122</v>
      </c>
      <c r="BB14" s="24">
        <f>MAX(,AO14,AQ14,AS14,AU14,AW14,AY14)</f>
        <v>4.2317073170731705</v>
      </c>
    </row>
    <row r="15" spans="2:54" ht="15.75" thickBot="1" x14ac:dyDescent="0.3">
      <c r="B15">
        <v>12</v>
      </c>
      <c r="C15" s="3">
        <v>36986</v>
      </c>
      <c r="D15" s="3">
        <v>193</v>
      </c>
      <c r="E15" s="11">
        <f>E14+($E$24-$E$14)/10</f>
        <v>32578.348242757504</v>
      </c>
      <c r="F15" s="11">
        <f>F14+($F$24-$F$14)/10</f>
        <v>213.4977099236641</v>
      </c>
      <c r="G15" s="4">
        <f>Tabelle3[[#This Row],[Werkzeuge (€)]]/$S$24*$G$24</f>
        <v>31495.482787130364</v>
      </c>
      <c r="H15" s="4">
        <f>Tabelle3[[#This Row],[Werkzeuge (Backer)]]/$T$24*$H$24</f>
        <v>170.28703703703704</v>
      </c>
      <c r="I15" s="11">
        <f>Tabelle3[[#This Row],[Mythos (€)]]/$U$24*$I$24</f>
        <v>43184.621567510505</v>
      </c>
      <c r="J15" s="11">
        <f>Tabelle3[[#This Row],[Mythos (Backer)]]/$V$24*$J$24</f>
        <v>246.70675105485225</v>
      </c>
      <c r="K15" s="4">
        <f>Tabelle3[[#This Row],[DSK (€)]]/$W$24*$I$24</f>
        <v>35879.530387186358</v>
      </c>
      <c r="L15" s="4">
        <f>Tabelle3[[#This Row],[DSK (Backer)]]/$X$24*$L$24</f>
        <v>208.94054878048783</v>
      </c>
      <c r="M15" s="4">
        <f>Tabelle3[[#This Row],[Mythen (€)]]/$Y$24*$M$24</f>
        <v>37557.596137820692</v>
      </c>
      <c r="N15" s="4">
        <f>Tabelle3[[#This Row],[Mythen (Backer)]]/$Z$24*$N$24</f>
        <v>217.57459677419357</v>
      </c>
      <c r="O15" s="4">
        <f>Tabelle3[[#This Row],[SOK (€)]]/$AA$24*$M$24</f>
        <v>44253.616820241819</v>
      </c>
      <c r="P15" s="4">
        <f>Tabelle3[[#This Row],[SOK (Backer)]]/$AB$24*$N$24</f>
        <v>247.94651442307693</v>
      </c>
      <c r="Q15" s="10">
        <f>Q14+($Q$24-$Q$14)/10</f>
        <v>139124.1</v>
      </c>
      <c r="R15" s="10">
        <f>R14+($R$24-$R$14)/10</f>
        <v>967.2</v>
      </c>
      <c r="S15" s="3">
        <v>86154</v>
      </c>
      <c r="T15" s="3">
        <v>371</v>
      </c>
      <c r="U15" s="10">
        <f t="shared" si="4"/>
        <v>82686.999999999985</v>
      </c>
      <c r="V15" s="10">
        <f t="shared" si="5"/>
        <v>505.49999999999983</v>
      </c>
      <c r="W15" s="50">
        <v>71286</v>
      </c>
      <c r="X15" s="50">
        <v>395</v>
      </c>
      <c r="Y15" s="50">
        <v>54218</v>
      </c>
      <c r="Z15" s="50">
        <v>311</v>
      </c>
      <c r="AA15" s="50">
        <v>169780</v>
      </c>
      <c r="AB15" s="50">
        <v>1189</v>
      </c>
      <c r="AC15" s="50">
        <f>'Rohals Erben'!Z193</f>
        <v>221864</v>
      </c>
      <c r="AD15" s="50">
        <f>'Rohals Erben'!AA193</f>
        <v>976</v>
      </c>
      <c r="AE15" s="9">
        <f>Tabelle3[[#This Row],[Nedime (€)]]/C$24</f>
        <v>0.59324725318790605</v>
      </c>
      <c r="AF15" s="9">
        <f>Tabelle3[[#This Row],[Nedime (Backer)]]/D$24</f>
        <v>0.55619596541786742</v>
      </c>
      <c r="AG15" s="9"/>
      <c r="AH15" s="9"/>
      <c r="AI15" s="9">
        <f>Tabelle3[[#This Row],[Werkzeuge (€)]]/S$24</f>
        <v>0.50518057241367176</v>
      </c>
      <c r="AJ15" s="9">
        <f>Tabelle3[[#This Row],[Werkzeuge (Backer)]]/T$24</f>
        <v>0.49074074074074076</v>
      </c>
      <c r="AK15" s="9"/>
      <c r="AL15" s="9"/>
      <c r="AN15" s="29"/>
      <c r="AO15" s="35">
        <f>AN14-AO14</f>
        <v>-0.51272616698965834</v>
      </c>
      <c r="AP15" s="63"/>
      <c r="AQ15" s="64"/>
      <c r="AR15" s="58"/>
      <c r="AS15" s="59">
        <f>AR14-AS14</f>
        <v>-0.22616073742649645</v>
      </c>
      <c r="AT15" s="36"/>
      <c r="AU15" s="30">
        <f>AT14-AU14</f>
        <v>8.8227360864634896E-2</v>
      </c>
      <c r="AV15" s="36"/>
      <c r="AW15" s="30">
        <f>AV14-AW14</f>
        <v>0.24802875343674957</v>
      </c>
      <c r="AX15" s="36"/>
      <c r="AY15" s="30">
        <f>AX14-AY14</f>
        <v>-1.0913594462476528E-2</v>
      </c>
    </row>
    <row r="16" spans="2:54" ht="15.75" thickBot="1" x14ac:dyDescent="0.3">
      <c r="B16">
        <v>13</v>
      </c>
      <c r="C16" s="3">
        <v>37704</v>
      </c>
      <c r="D16" s="3">
        <v>197</v>
      </c>
      <c r="E16" s="11">
        <f t="shared" ref="E16:E23" si="8">E15+($E$24-$E$14)/10</f>
        <v>35885.753993562226</v>
      </c>
      <c r="F16" s="11">
        <f t="shared" ref="F16:F23" si="9">F15+($F$24-$F$14)/10</f>
        <v>228.33129770992366</v>
      </c>
      <c r="G16" s="4">
        <f>Tabelle3[[#This Row],[Werkzeuge (€)]]/$S$24*$G$24</f>
        <v>32558.56591670038</v>
      </c>
      <c r="H16" s="4">
        <f>Tabelle3[[#This Row],[Werkzeuge (Backer)]]/$T$24*$H$24</f>
        <v>177.17195767195767</v>
      </c>
      <c r="I16" s="11">
        <f>Tabelle3[[#This Row],[Mythos (€)]]/$U$24*$I$24</f>
        <v>45313.552504453779</v>
      </c>
      <c r="J16" s="11">
        <f>Tabelle3[[#This Row],[Mythos (Backer)]]/$V$24*$J$24</f>
        <v>257.85044538209087</v>
      </c>
      <c r="K16" s="4">
        <f>Tabelle3[[#This Row],[DSK (€)]]/$W$24*$I$24</f>
        <v>37285.297695934387</v>
      </c>
      <c r="L16" s="4">
        <f>Tabelle3[[#This Row],[DSK (Backer)]]/$X$24*$L$24</f>
        <v>216.875</v>
      </c>
      <c r="M16" s="4">
        <f>Tabelle3[[#This Row],[Mythen (€)]]/$Y$24*$M$24</f>
        <v>38504.536894034507</v>
      </c>
      <c r="N16" s="4">
        <f>Tabelle3[[#This Row],[Mythen (Backer)]]/$Z$24*$N$24</f>
        <v>223.17137096774195</v>
      </c>
      <c r="O16" s="4">
        <f>Tabelle3[[#This Row],[SOK (€)]]/$AA$24*$M$24</f>
        <v>44945.9104135659</v>
      </c>
      <c r="P16" s="4">
        <f>Tabelle3[[#This Row],[SOK (Backer)]]/$AB$24*$N$24</f>
        <v>251.28305288461539</v>
      </c>
      <c r="Q16" s="10">
        <f t="shared" ref="Q16:Q23" si="10">Q15+($Q$24-$Q$14)/10</f>
        <v>153248.20000000001</v>
      </c>
      <c r="R16" s="10">
        <f t="shared" ref="R16:R23" si="11">R15+($R$24-$R$14)/10</f>
        <v>1034.4000000000001</v>
      </c>
      <c r="S16" s="3">
        <v>89062</v>
      </c>
      <c r="T16" s="3">
        <v>386</v>
      </c>
      <c r="U16" s="10">
        <f t="shared" si="4"/>
        <v>86763.333333333314</v>
      </c>
      <c r="V16" s="10">
        <f t="shared" si="5"/>
        <v>528.33333333333314</v>
      </c>
      <c r="W16" s="50">
        <v>74079</v>
      </c>
      <c r="X16" s="50">
        <v>410</v>
      </c>
      <c r="Y16" s="50">
        <v>55585</v>
      </c>
      <c r="Z16" s="50">
        <v>319</v>
      </c>
      <c r="AA16" s="50">
        <v>172436</v>
      </c>
      <c r="AB16" s="50">
        <v>1205</v>
      </c>
      <c r="AC16" s="50">
        <f>'Rohals Erben'!Z194</f>
        <v>229701</v>
      </c>
      <c r="AD16" s="50">
        <f>'Rohals Erben'!AA194</f>
        <v>1011</v>
      </c>
      <c r="AE16" s="9">
        <f>Tabelle3[[#This Row],[Nedime (€)]]/C$24</f>
        <v>0.60476381425936321</v>
      </c>
      <c r="AF16" s="9">
        <f>Tabelle3[[#This Row],[Nedime (Backer)]]/D$24</f>
        <v>0.56772334293948123</v>
      </c>
      <c r="AG16" s="9"/>
      <c r="AH16" s="9"/>
      <c r="AI16" s="9">
        <f>Tabelle3[[#This Row],[Werkzeuge (€)]]/S$24</f>
        <v>0.5222321904996452</v>
      </c>
      <c r="AJ16" s="9">
        <f>Tabelle3[[#This Row],[Werkzeuge (Backer)]]/T$24</f>
        <v>0.51058201058201058</v>
      </c>
      <c r="AK16" s="9"/>
      <c r="AL16" s="9"/>
      <c r="AO16" s="8"/>
      <c r="AQ16" s="8"/>
      <c r="AS16" s="20"/>
      <c r="AU16" s="8"/>
      <c r="AW16" s="8"/>
      <c r="AY16" s="8"/>
    </row>
    <row r="17" spans="2:55" x14ac:dyDescent="0.25">
      <c r="B17">
        <v>14</v>
      </c>
      <c r="C17" s="3">
        <v>38541</v>
      </c>
      <c r="D17" s="3">
        <v>205</v>
      </c>
      <c r="E17" s="11">
        <f t="shared" si="8"/>
        <v>39193.159744366945</v>
      </c>
      <c r="F17" s="11">
        <f t="shared" si="9"/>
        <v>243.16488549618322</v>
      </c>
      <c r="G17" s="4">
        <f>Tabelle3[[#This Row],[Werkzeuge (€)]]/$S$24*$G$24</f>
        <v>34038.035457749167</v>
      </c>
      <c r="H17" s="4">
        <f>Tabelle3[[#This Row],[Werkzeuge (Backer)]]/$T$24*$H$24</f>
        <v>184.97486772486772</v>
      </c>
      <c r="I17" s="11">
        <f>Tabelle3[[#This Row],[Mythos (€)]]/$U$24*$I$24</f>
        <v>47442.483441397053</v>
      </c>
      <c r="J17" s="11">
        <f>Tabelle3[[#This Row],[Mythos (Backer)]]/$V$24*$J$24</f>
        <v>268.99413970932949</v>
      </c>
      <c r="K17" s="4">
        <f>Tabelle3[[#This Row],[DSK (€)]]/$W$24*$I$24</f>
        <v>37955.717336196598</v>
      </c>
      <c r="L17" s="4">
        <f>Tabelle3[[#This Row],[DSK (Backer)]]/$X$24*$L$24</f>
        <v>220.57774390243901</v>
      </c>
      <c r="M17" s="4">
        <f>Tabelle3[[#This Row],[Mythen (€)]]/$Y$24*$M$24</f>
        <v>39940.534105176608</v>
      </c>
      <c r="N17" s="4">
        <f>Tabelle3[[#This Row],[Mythen (Backer)]]/$Z$24*$N$24</f>
        <v>230.86693548387095</v>
      </c>
      <c r="O17" s="4">
        <f>Tabelle3[[#This Row],[SOK (€)]]/$AA$24*$M$24</f>
        <v>46038.82721959296</v>
      </c>
      <c r="P17" s="4">
        <f>Tabelle3[[#This Row],[SOK (Backer)]]/$AB$24*$N$24</f>
        <v>256.91346153846155</v>
      </c>
      <c r="Q17" s="10">
        <f t="shared" si="10"/>
        <v>167372.30000000002</v>
      </c>
      <c r="R17" s="10">
        <f t="shared" si="11"/>
        <v>1101.6000000000001</v>
      </c>
      <c r="S17" s="3">
        <v>93109</v>
      </c>
      <c r="T17" s="3">
        <v>403</v>
      </c>
      <c r="U17" s="10">
        <f t="shared" si="4"/>
        <v>90839.666666666642</v>
      </c>
      <c r="V17" s="10">
        <f t="shared" si="5"/>
        <v>551.16666666666652</v>
      </c>
      <c r="W17" s="50">
        <v>75411</v>
      </c>
      <c r="X17" s="50">
        <v>417</v>
      </c>
      <c r="Y17" s="50">
        <v>57658</v>
      </c>
      <c r="Z17" s="50">
        <v>330</v>
      </c>
      <c r="AA17" s="50">
        <v>176629</v>
      </c>
      <c r="AB17" s="50">
        <v>1232</v>
      </c>
      <c r="AC17" s="50">
        <f>'Rohals Erben'!Z195</f>
        <v>240791</v>
      </c>
      <c r="AD17" s="50">
        <f>'Rohals Erben'!AA195</f>
        <v>1060</v>
      </c>
      <c r="AE17" s="9">
        <f>Tabelle3[[#This Row],[Nedime (€)]]/C$24</f>
        <v>0.61818910899029589</v>
      </c>
      <c r="AF17" s="9">
        <f>Tabelle3[[#This Row],[Nedime (Backer)]]/D$24</f>
        <v>0.59077809798270897</v>
      </c>
      <c r="AG17" s="9"/>
      <c r="AH17" s="9"/>
      <c r="AI17" s="9">
        <f>Tabelle3[[#This Row],[Werkzeuge (€)]]/S$24</f>
        <v>0.54596255445904507</v>
      </c>
      <c r="AJ17" s="9">
        <f>Tabelle3[[#This Row],[Werkzeuge (Backer)]]/T$24</f>
        <v>0.53306878306878303</v>
      </c>
      <c r="AK17" s="9"/>
      <c r="AL17" s="9"/>
      <c r="AN17" s="25" t="s">
        <v>159</v>
      </c>
      <c r="AO17" s="31" t="s">
        <v>159</v>
      </c>
      <c r="AP17" s="60"/>
      <c r="AQ17" s="61"/>
      <c r="AR17" s="55" t="s">
        <v>159</v>
      </c>
      <c r="AS17" s="56" t="s">
        <v>159</v>
      </c>
      <c r="AT17" s="32" t="s">
        <v>159</v>
      </c>
      <c r="AU17" s="26" t="s">
        <v>159</v>
      </c>
      <c r="AV17" s="32" t="s">
        <v>159</v>
      </c>
      <c r="AW17" s="26" t="s">
        <v>159</v>
      </c>
      <c r="AX17" s="32" t="s">
        <v>159</v>
      </c>
      <c r="AY17" s="26" t="s">
        <v>159</v>
      </c>
    </row>
    <row r="18" spans="2:55" x14ac:dyDescent="0.25">
      <c r="B18">
        <v>15</v>
      </c>
      <c r="C18" s="3">
        <v>40401</v>
      </c>
      <c r="D18" s="3">
        <v>214</v>
      </c>
      <c r="E18" s="11">
        <f t="shared" si="8"/>
        <v>42500.565495171664</v>
      </c>
      <c r="F18" s="11">
        <f t="shared" si="9"/>
        <v>257.99847328244277</v>
      </c>
      <c r="G18" s="4">
        <f>Tabelle3[[#This Row],[Werkzeuge (€)]]/$S$24*$G$24</f>
        <v>35630.832292527899</v>
      </c>
      <c r="H18" s="4">
        <f>Tabelle3[[#This Row],[Werkzeuge (Backer)]]/$T$24*$H$24</f>
        <v>193.69576719576722</v>
      </c>
      <c r="I18" s="11">
        <f>Tabelle3[[#This Row],[Mythos (€)]]/$U$24*$I$24</f>
        <v>49571.414378340327</v>
      </c>
      <c r="J18" s="11">
        <f>Tabelle3[[#This Row],[Mythos (Backer)]]/$V$24*$J$24</f>
        <v>280.13783403656817</v>
      </c>
      <c r="K18" s="4">
        <f>Tabelle3[[#This Row],[DSK (€)]]/$W$24*$I$24</f>
        <v>38763.542803629673</v>
      </c>
      <c r="L18" s="4">
        <f>Tabelle3[[#This Row],[DSK (Backer)]]/$X$24*$L$24</f>
        <v>225.86737804878047</v>
      </c>
      <c r="M18" s="4">
        <f>Tabelle3[[#This Row],[Mythen (€)]]/$Y$24*$M$24</f>
        <v>40976.835035166274</v>
      </c>
      <c r="N18" s="4">
        <f>Tabelle3[[#This Row],[Mythen (Backer)]]/$Z$24*$N$24</f>
        <v>235.76411290322582</v>
      </c>
      <c r="O18" s="4">
        <f>Tabelle3[[#This Row],[SOK (€)]]/$AA$24*$M$24</f>
        <v>49073.867355385722</v>
      </c>
      <c r="P18" s="4">
        <f>Tabelle3[[#This Row],[SOK (Backer)]]/$AB$24*$N$24</f>
        <v>273.8046875</v>
      </c>
      <c r="Q18" s="10">
        <f t="shared" si="10"/>
        <v>181496.40000000002</v>
      </c>
      <c r="R18" s="10">
        <f t="shared" si="11"/>
        <v>1168.8000000000002</v>
      </c>
      <c r="S18" s="3">
        <v>97466</v>
      </c>
      <c r="T18" s="3">
        <v>422</v>
      </c>
      <c r="U18" s="10">
        <f t="shared" si="4"/>
        <v>94915.999999999971</v>
      </c>
      <c r="V18" s="10">
        <f t="shared" si="5"/>
        <v>573.99999999999989</v>
      </c>
      <c r="W18" s="50">
        <v>77016</v>
      </c>
      <c r="X18" s="50">
        <v>427</v>
      </c>
      <c r="Y18" s="50">
        <v>59154</v>
      </c>
      <c r="Z18" s="50">
        <v>337</v>
      </c>
      <c r="AA18" s="50">
        <v>188273</v>
      </c>
      <c r="AB18" s="50">
        <v>1313</v>
      </c>
      <c r="AC18" s="50">
        <f>'Rohals Erben'!Z196</f>
        <v>249000</v>
      </c>
      <c r="AD18" s="50">
        <f>'Rohals Erben'!AA196</f>
        <v>1096</v>
      </c>
      <c r="AE18" s="9">
        <f>Tabelle3[[#This Row],[Nedime (€)]]/C$24</f>
        <v>0.64802309728125751</v>
      </c>
      <c r="AF18" s="9">
        <f>Tabelle3[[#This Row],[Nedime (Backer)]]/D$24</f>
        <v>0.61671469740634011</v>
      </c>
      <c r="AG18" s="9"/>
      <c r="AH18" s="9"/>
      <c r="AI18" s="9">
        <f>Tabelle3[[#This Row],[Werkzeuge (€)]]/S$24</f>
        <v>0.57151066312499632</v>
      </c>
      <c r="AJ18" s="9">
        <f>Tabelle3[[#This Row],[Werkzeuge (Backer)]]/T$24</f>
        <v>0.55820105820105825</v>
      </c>
      <c r="AK18" s="9"/>
      <c r="AL18" s="9"/>
      <c r="AN18" s="27" t="s">
        <v>82</v>
      </c>
      <c r="AO18" s="33" t="s">
        <v>83</v>
      </c>
      <c r="AP18" s="52"/>
      <c r="AQ18" s="62"/>
      <c r="AR18" s="34" t="s">
        <v>124</v>
      </c>
      <c r="AS18" s="33" t="s">
        <v>125</v>
      </c>
      <c r="AT18" s="34" t="s">
        <v>88</v>
      </c>
      <c r="AU18" s="28" t="s">
        <v>89</v>
      </c>
      <c r="AV18" s="34" t="s">
        <v>154</v>
      </c>
      <c r="AW18" s="28" t="s">
        <v>155</v>
      </c>
      <c r="AX18" s="34" t="s">
        <v>271</v>
      </c>
      <c r="AY18" s="28" t="s">
        <v>272</v>
      </c>
      <c r="AZ18" s="16" t="s">
        <v>91</v>
      </c>
      <c r="BA18" s="23">
        <f>MIN(AN19,AP19,AR19,AT19,AV19,AX19)</f>
        <v>1.9522523037243202</v>
      </c>
      <c r="BB18" s="23">
        <f>MIN(AO19,AQ19,AS19,AU19,AW19,AY19)</f>
        <v>1.9530516431924883</v>
      </c>
    </row>
    <row r="19" spans="2:55" x14ac:dyDescent="0.25">
      <c r="B19">
        <v>16</v>
      </c>
      <c r="C19" s="3">
        <v>42277</v>
      </c>
      <c r="D19" s="3">
        <v>224</v>
      </c>
      <c r="E19" s="11">
        <f t="shared" si="8"/>
        <v>45807.971245976383</v>
      </c>
      <c r="F19" s="11">
        <f t="shared" si="9"/>
        <v>272.83206106870233</v>
      </c>
      <c r="G19" s="4">
        <f>Tabelle3[[#This Row],[Werkzeuge (€)]]/$S$24*$G$24</f>
        <v>37819.145777261772</v>
      </c>
      <c r="H19" s="4">
        <f>Tabelle3[[#This Row],[Werkzeuge (Backer)]]/$T$24*$H$24</f>
        <v>204.25264550264549</v>
      </c>
      <c r="I19" s="11">
        <f>Tabelle3[[#This Row],[Mythos (€)]]/$U$24*$I$24</f>
        <v>51700.345315283601</v>
      </c>
      <c r="J19" s="11">
        <f>Tabelle3[[#This Row],[Mythos (Backer)]]/$V$24*$J$24</f>
        <v>291.28152836380679</v>
      </c>
      <c r="K19" s="4">
        <f>Tabelle3[[#This Row],[DSK (€)]]/$W$24*$I$24</f>
        <v>40290.106443956465</v>
      </c>
      <c r="L19" s="4">
        <f>Tabelle3[[#This Row],[DSK (Backer)]]/$X$24*$L$24</f>
        <v>234.85975609756099</v>
      </c>
      <c r="M19" s="4">
        <f>Tabelle3[[#This Row],[Mythen (€)]]/$Y$24*$M$24</f>
        <v>42838.851679425781</v>
      </c>
      <c r="N19" s="4">
        <f>Tabelle3[[#This Row],[Mythen (Backer)]]/$Z$24*$N$24</f>
        <v>244.15927419354838</v>
      </c>
      <c r="O19" s="4">
        <f>Tabelle3[[#This Row],[SOK (€)]]/$AA$24*$M$24</f>
        <v>50374.785022659999</v>
      </c>
      <c r="P19" s="4">
        <f>Tabelle3[[#This Row],[SOK (Backer)]]/$AB$24*$N$24</f>
        <v>281.52043269230768</v>
      </c>
      <c r="Q19" s="10">
        <f t="shared" si="10"/>
        <v>195620.50000000003</v>
      </c>
      <c r="R19" s="10">
        <f t="shared" si="11"/>
        <v>1236.0000000000002</v>
      </c>
      <c r="S19" s="3">
        <v>103452</v>
      </c>
      <c r="T19" s="3">
        <v>445</v>
      </c>
      <c r="U19" s="10">
        <f t="shared" si="4"/>
        <v>98992.333333333299</v>
      </c>
      <c r="V19" s="10">
        <f t="shared" si="5"/>
        <v>596.83333333333326</v>
      </c>
      <c r="W19" s="50">
        <v>80049</v>
      </c>
      <c r="X19" s="50">
        <v>444</v>
      </c>
      <c r="Y19" s="50">
        <v>61842</v>
      </c>
      <c r="Z19" s="50">
        <v>349</v>
      </c>
      <c r="AA19" s="50">
        <v>193264</v>
      </c>
      <c r="AB19" s="50">
        <v>1350</v>
      </c>
      <c r="AC19" s="50">
        <f>'Rohals Erben'!Z197</f>
        <v>257666</v>
      </c>
      <c r="AD19" s="50">
        <f>'Rohals Erben'!AA197</f>
        <v>1134</v>
      </c>
      <c r="AE19" s="9">
        <f>Tabelle3[[#This Row],[Nedime (€)]]/C$24</f>
        <v>0.67811372203063602</v>
      </c>
      <c r="AF19" s="9">
        <f>Tabelle3[[#This Row],[Nedime (Backer)]]/D$24</f>
        <v>0.64553314121037464</v>
      </c>
      <c r="AG19" s="9"/>
      <c r="AH19" s="9"/>
      <c r="AI19" s="9">
        <f>Tabelle3[[#This Row],[Werkzeuge (€)]]/S$24</f>
        <v>0.60661072703924568</v>
      </c>
      <c r="AJ19" s="9">
        <f>Tabelle3[[#This Row],[Werkzeuge (Backer)]]/T$24</f>
        <v>0.58862433862433861</v>
      </c>
      <c r="AK19" s="9"/>
      <c r="AL19" s="9"/>
      <c r="AN19" s="27">
        <f>C24/C6</f>
        <v>3.5274980196899399</v>
      </c>
      <c r="AO19" s="33">
        <f>D24/D6</f>
        <v>3.8555555555555556</v>
      </c>
      <c r="AP19" s="52"/>
      <c r="AQ19" s="62"/>
      <c r="AR19" s="53">
        <f>S24/S6</f>
        <v>3.1639672733344466</v>
      </c>
      <c r="AS19" s="57">
        <f>T24/T6</f>
        <v>3.375</v>
      </c>
      <c r="AT19" s="53">
        <f t="shared" ref="AT19:AY19" si="12">W24/W6</f>
        <v>2.7360236785722174</v>
      </c>
      <c r="AU19" s="54">
        <f t="shared" si="12"/>
        <v>2.6451612903225805</v>
      </c>
      <c r="AV19" s="53">
        <f t="shared" si="12"/>
        <v>3.252538758989556</v>
      </c>
      <c r="AW19" s="54">
        <f t="shared" si="12"/>
        <v>3.0617283950617282</v>
      </c>
      <c r="AX19" s="53">
        <f t="shared" si="12"/>
        <v>1.9522523037243202</v>
      </c>
      <c r="AY19" s="54">
        <f t="shared" si="12"/>
        <v>1.9530516431924883</v>
      </c>
      <c r="AZ19" t="s">
        <v>92</v>
      </c>
      <c r="BA19" s="24">
        <f>MAX(AN19,AP19,AR19,AT19,AV19,AX19)</f>
        <v>3.5274980196899399</v>
      </c>
      <c r="BB19" s="24">
        <f>MAX(,AO19,AQ19,AS19,AU19,AW19,AY19)</f>
        <v>3.8555555555555556</v>
      </c>
    </row>
    <row r="20" spans="2:55" ht="15.75" thickBot="1" x14ac:dyDescent="0.3">
      <c r="B20">
        <v>17</v>
      </c>
      <c r="C20" s="3">
        <v>44039</v>
      </c>
      <c r="D20" s="3">
        <v>233</v>
      </c>
      <c r="E20" s="11">
        <f t="shared" si="8"/>
        <v>49115.376996781102</v>
      </c>
      <c r="F20" s="11">
        <f t="shared" si="9"/>
        <v>287.66564885496189</v>
      </c>
      <c r="G20" s="12">
        <f>Tabelle3[[#This Row],[Werkzeuge (€)]]/$S$24*$G$24</f>
        <v>40047.306600758762</v>
      </c>
      <c r="H20" s="4">
        <f>Tabelle3[[#This Row],[Werkzeuge (Backer)]]/$T$24*$H$24</f>
        <v>216.18650793650795</v>
      </c>
      <c r="I20" s="11">
        <f>Tabelle3[[#This Row],[Mythos (€)]]/$U$24*$I$24</f>
        <v>53829.276252226875</v>
      </c>
      <c r="J20" s="11">
        <f>Tabelle3[[#This Row],[Mythos (Backer)]]/$V$24*$J$24</f>
        <v>302.42522269104546</v>
      </c>
      <c r="K20" s="4">
        <f>Tabelle3[[#This Row],[DSK (€)]]/$W$24*$I$24</f>
        <v>43704.616083249915</v>
      </c>
      <c r="L20" s="4">
        <f>Tabelle3[[#This Row],[DSK (Backer)]]/$X$24*$L$24</f>
        <v>257.60518292682929</v>
      </c>
      <c r="M20" s="4">
        <f>Tabelle3[[#This Row],[Mythen (€)]]/$Y$24*$M$24</f>
        <v>44512.449972778079</v>
      </c>
      <c r="N20" s="4">
        <f>Tabelle3[[#This Row],[Mythen (Backer)]]/$Z$24*$N$24</f>
        <v>253.95362903225805</v>
      </c>
      <c r="O20" s="4">
        <f>Tabelle3[[#This Row],[SOK (€)]]/$AA$24*$M$24</f>
        <v>51677.266606184254</v>
      </c>
      <c r="P20" s="4">
        <f>Tabelle3[[#This Row],[SOK (Backer)]]/$AB$24*$N$24</f>
        <v>288.61057692307696</v>
      </c>
      <c r="Q20" s="10">
        <f t="shared" si="10"/>
        <v>209744.60000000003</v>
      </c>
      <c r="R20" s="10">
        <f t="shared" si="11"/>
        <v>1303.2000000000003</v>
      </c>
      <c r="S20" s="13">
        <v>109547</v>
      </c>
      <c r="T20" s="13">
        <v>471</v>
      </c>
      <c r="U20" s="10">
        <f t="shared" si="4"/>
        <v>103068.66666666663</v>
      </c>
      <c r="V20" s="10">
        <f t="shared" si="5"/>
        <v>619.66666666666663</v>
      </c>
      <c r="W20" s="50">
        <v>86833</v>
      </c>
      <c r="X20" s="50">
        <v>487</v>
      </c>
      <c r="Y20" s="50">
        <v>64258</v>
      </c>
      <c r="Z20" s="50">
        <v>363</v>
      </c>
      <c r="AA20" s="50">
        <v>198261</v>
      </c>
      <c r="AB20" s="50">
        <v>1384</v>
      </c>
      <c r="AC20" s="50">
        <f>'Rohals Erben'!Z198</f>
        <v>268894</v>
      </c>
      <c r="AD20" s="50">
        <f>'Rohals Erben'!AA198</f>
        <v>1160</v>
      </c>
      <c r="AE20" s="14">
        <f>Tabelle3[[#This Row],[Nedime (€)]]/C$24</f>
        <v>0.70637581201379418</v>
      </c>
      <c r="AF20" s="9">
        <f>Tabelle3[[#This Row],[Nedime (Backer)]]/D$24</f>
        <v>0.67146974063400577</v>
      </c>
      <c r="AG20" s="9"/>
      <c r="AH20" s="9"/>
      <c r="AI20" s="14">
        <f>Tabelle3[[#This Row],[Werkzeuge (€)]]/S$24</f>
        <v>0.64234993344708902</v>
      </c>
      <c r="AJ20" s="14">
        <f>Tabelle3[[#This Row],[Werkzeuge (Backer)]]/T$24</f>
        <v>0.62301587301587302</v>
      </c>
      <c r="AK20" s="15"/>
      <c r="AL20" s="15"/>
      <c r="AN20" s="29"/>
      <c r="AO20" s="35">
        <f>AN19-AO19</f>
        <v>-0.3280575358656157</v>
      </c>
      <c r="AP20" s="63"/>
      <c r="AQ20" s="64"/>
      <c r="AR20" s="58"/>
      <c r="AS20" s="59">
        <f>AR19-AS19</f>
        <v>-0.21103272666555339</v>
      </c>
      <c r="AT20" s="36"/>
      <c r="AU20" s="30">
        <f>AT19-AU19</f>
        <v>9.0862388249636883E-2</v>
      </c>
      <c r="AV20" s="36"/>
      <c r="AW20" s="30">
        <f>AV19-AW19</f>
        <v>0.1908103639278278</v>
      </c>
      <c r="AX20" s="36"/>
      <c r="AY20" s="30">
        <f>AX19-AY19</f>
        <v>-7.9933946816801438E-4</v>
      </c>
    </row>
    <row r="21" spans="2:55" ht="15.75" thickBot="1" x14ac:dyDescent="0.3">
      <c r="B21">
        <v>18</v>
      </c>
      <c r="C21" s="3">
        <v>46661</v>
      </c>
      <c r="D21" s="3">
        <v>250</v>
      </c>
      <c r="E21" s="11">
        <f t="shared" si="8"/>
        <v>52422.782747585821</v>
      </c>
      <c r="F21" s="11">
        <f t="shared" si="9"/>
        <v>302.49923664122144</v>
      </c>
      <c r="G21" s="12">
        <f>Tabelle3[[#This Row],[Werkzeuge (€)]]/$S$24*$G$24</f>
        <v>42194.310459068496</v>
      </c>
      <c r="H21" s="4">
        <f>Tabelle3[[#This Row],[Werkzeuge (Backer)]]/$T$24*$H$24</f>
        <v>229.95634920634919</v>
      </c>
      <c r="I21" s="11">
        <f>Tabelle3[[#This Row],[Mythos (€)]]/$U$24*$I$24</f>
        <v>55958.207189170149</v>
      </c>
      <c r="J21" s="11">
        <f>Tabelle3[[#This Row],[Mythos (Backer)]]/$V$24*$J$24</f>
        <v>313.56891701828408</v>
      </c>
      <c r="K21" s="4">
        <f>Tabelle3[[#This Row],[DSK (€)]]/$W$24*$I$24</f>
        <v>46292.174169276972</v>
      </c>
      <c r="L21" s="4">
        <f>Tabelle3[[#This Row],[DSK (Backer)]]/$X$24*$L$24</f>
        <v>271.88719512195121</v>
      </c>
      <c r="M21" s="4">
        <f>Tabelle3[[#This Row],[Mythen (€)]]/$Y$24*$M$24</f>
        <v>46238.001855534945</v>
      </c>
      <c r="N21" s="4">
        <f>Tabelle3[[#This Row],[Mythen (Backer)]]/$Z$24*$N$24</f>
        <v>263.74798387096774</v>
      </c>
      <c r="O21" s="4">
        <f>Tabelle3[[#This Row],[SOK (€)]]/$AA$24*$M$24</f>
        <v>52943.517463250668</v>
      </c>
      <c r="P21" s="4">
        <f>Tabelle3[[#This Row],[SOK (Backer)]]/$AB$24*$N$24</f>
        <v>295.90925480769232</v>
      </c>
      <c r="Q21" s="10">
        <f t="shared" si="10"/>
        <v>223868.70000000004</v>
      </c>
      <c r="R21" s="10">
        <f t="shared" si="11"/>
        <v>1370.4000000000003</v>
      </c>
      <c r="S21" s="13">
        <v>115420</v>
      </c>
      <c r="T21" s="13">
        <v>501</v>
      </c>
      <c r="U21" s="10">
        <f t="shared" si="4"/>
        <v>107144.99999999996</v>
      </c>
      <c r="V21" s="10">
        <f t="shared" si="5"/>
        <v>642.5</v>
      </c>
      <c r="W21" s="50">
        <v>91974</v>
      </c>
      <c r="X21" s="50">
        <v>514</v>
      </c>
      <c r="Y21" s="50">
        <v>66749</v>
      </c>
      <c r="Z21" s="50">
        <v>377</v>
      </c>
      <c r="AA21" s="50">
        <v>203119</v>
      </c>
      <c r="AB21" s="50">
        <v>1419</v>
      </c>
      <c r="AC21" s="50">
        <f>'Rohals Erben'!Z199</f>
        <v>280832</v>
      </c>
      <c r="AD21" s="50">
        <f>'Rohals Erben'!AA199</f>
        <v>1210</v>
      </c>
      <c r="AE21" s="14">
        <f>Tabelle3[[#This Row],[Nedime (€)]]/C$24</f>
        <v>0.74843211163685941</v>
      </c>
      <c r="AF21" s="9">
        <f>Tabelle3[[#This Row],[Nedime (Backer)]]/D$24</f>
        <v>0.72046109510086453</v>
      </c>
      <c r="AG21" s="9"/>
      <c r="AH21" s="9"/>
      <c r="AI21" s="14">
        <f>Tabelle3[[#This Row],[Werkzeuge (€)]]/S$24</f>
        <v>0.67678740009733729</v>
      </c>
      <c r="AJ21" s="14">
        <f>Tabelle3[[#This Row],[Werkzeuge (Backer)]]/T$24</f>
        <v>0.66269841269841268</v>
      </c>
      <c r="AK21" s="15"/>
      <c r="AL21" s="15"/>
    </row>
    <row r="22" spans="2:55" x14ac:dyDescent="0.25">
      <c r="B22">
        <v>19</v>
      </c>
      <c r="C22" s="3">
        <v>49576</v>
      </c>
      <c r="D22" s="3">
        <v>267</v>
      </c>
      <c r="E22" s="11">
        <f t="shared" si="8"/>
        <v>55730.18849839054</v>
      </c>
      <c r="F22" s="11">
        <f t="shared" si="9"/>
        <v>317.332824427481</v>
      </c>
      <c r="G22" s="12">
        <f>Tabelle3[[#This Row],[Werkzeuge (€)]]/$S$24*$G$24</f>
        <v>45163.485554793275</v>
      </c>
      <c r="H22" s="4">
        <f>Tabelle3[[#This Row],[Werkzeuge (Backer)]]/$T$24*$H$24</f>
        <v>246.48015873015873</v>
      </c>
      <c r="I22" s="11">
        <f>Tabelle3[[#This Row],[Mythos (€)]]/$U$24*$I$24</f>
        <v>58087.138126113423</v>
      </c>
      <c r="J22" s="11">
        <f>Tabelle3[[#This Row],[Mythos (Backer)]]/$V$24*$J$24</f>
        <v>324.71261134552276</v>
      </c>
      <c r="K22" s="4">
        <f>Tabelle3[[#This Row],[DSK (€)]]/$W$24*$I$24</f>
        <v>50920.686940937128</v>
      </c>
      <c r="L22" s="4">
        <f>Tabelle3[[#This Row],[DSK (Backer)]]/$X$24*$L$24</f>
        <v>290.40091463414637</v>
      </c>
      <c r="M22" s="4">
        <f>Tabelle3[[#This Row],[Mythen (€)]]/$Y$24*$M$24</f>
        <v>49482.676692481196</v>
      </c>
      <c r="N22" s="4">
        <f>Tabelle3[[#This Row],[Mythen (Backer)]]/$Z$24*$N$24</f>
        <v>280.53830645161293</v>
      </c>
      <c r="O22" s="4">
        <f>Tabelle3[[#This Row],[SOK (€)]]/$AA$24*$M$24</f>
        <v>55306.855569677406</v>
      </c>
      <c r="P22" s="4">
        <f>Tabelle3[[#This Row],[SOK (Backer)]]/$AB$24*$N$24</f>
        <v>309.25540865384619</v>
      </c>
      <c r="Q22" s="10">
        <f t="shared" si="10"/>
        <v>237992.80000000005</v>
      </c>
      <c r="R22" s="10">
        <f t="shared" si="11"/>
        <v>1437.6000000000004</v>
      </c>
      <c r="S22" s="13">
        <v>123542</v>
      </c>
      <c r="T22" s="13">
        <v>537</v>
      </c>
      <c r="U22" s="10">
        <f t="shared" si="4"/>
        <v>111221.33333333328</v>
      </c>
      <c r="V22" s="10">
        <f t="shared" si="5"/>
        <v>665.33333333333337</v>
      </c>
      <c r="W22" s="50">
        <v>101170</v>
      </c>
      <c r="X22" s="50">
        <v>549</v>
      </c>
      <c r="Y22" s="50">
        <v>71433</v>
      </c>
      <c r="Z22" s="50">
        <v>401</v>
      </c>
      <c r="AA22" s="50">
        <v>212186</v>
      </c>
      <c r="AB22" s="50">
        <v>1483</v>
      </c>
      <c r="AC22" s="50">
        <f>'Rohals Erben'!Z200</f>
        <v>299641</v>
      </c>
      <c r="AD22" s="50">
        <f>'Rohals Erben'!AA200</f>
        <v>1290</v>
      </c>
      <c r="AE22" s="14">
        <f>Tabelle3[[#This Row],[Nedime (€)]]/C$24</f>
        <v>0.79518806640468365</v>
      </c>
      <c r="AF22" s="9">
        <f>Tabelle3[[#This Row],[Nedime (Backer)]]/D$24</f>
        <v>0.7694524495677233</v>
      </c>
      <c r="AG22" s="9"/>
      <c r="AH22" s="9"/>
      <c r="AI22" s="14">
        <f>Tabelle3[[#This Row],[Werkzeuge (€)]]/S$24</f>
        <v>0.72441231140898665</v>
      </c>
      <c r="AJ22" s="14">
        <f>Tabelle3[[#This Row],[Werkzeuge (Backer)]]/T$24</f>
        <v>0.71031746031746035</v>
      </c>
      <c r="AK22" s="15"/>
      <c r="AL22" s="15"/>
      <c r="AN22" s="25" t="s">
        <v>160</v>
      </c>
      <c r="AO22" s="31" t="s">
        <v>160</v>
      </c>
      <c r="AP22" s="60"/>
      <c r="AQ22" s="61"/>
      <c r="AR22" s="55" t="s">
        <v>160</v>
      </c>
      <c r="AS22" s="56" t="s">
        <v>160</v>
      </c>
      <c r="AT22" s="32" t="s">
        <v>160</v>
      </c>
      <c r="AU22" s="26" t="s">
        <v>160</v>
      </c>
      <c r="AV22" s="32" t="s">
        <v>160</v>
      </c>
      <c r="AW22" s="26" t="s">
        <v>160</v>
      </c>
      <c r="AX22" s="32" t="s">
        <v>160</v>
      </c>
      <c r="AY22" s="26" t="s">
        <v>160</v>
      </c>
    </row>
    <row r="23" spans="2:55" s="16" customFormat="1" x14ac:dyDescent="0.25">
      <c r="B23" s="16">
        <v>20</v>
      </c>
      <c r="C23" s="13">
        <v>54612</v>
      </c>
      <c r="D23" s="13">
        <v>300</v>
      </c>
      <c r="E23" s="17">
        <f t="shared" si="8"/>
        <v>59037.594249195259</v>
      </c>
      <c r="F23" s="17">
        <f t="shared" si="9"/>
        <v>332.16641221374056</v>
      </c>
      <c r="G23" s="12">
        <f>Tabelle3[[#This Row],[Werkzeuge (€)]]/$S$24*$G$24</f>
        <v>47642.79428407245</v>
      </c>
      <c r="H23" s="12">
        <f>Tabelle3[[#This Row],[Werkzeuge (Backer)]]/$T$24*$H$24</f>
        <v>264.38095238095235</v>
      </c>
      <c r="I23" s="17">
        <f>Tabelle3[[#This Row],[Mythos (€)]]/$U$24*$I$24</f>
        <v>60216.069063056697</v>
      </c>
      <c r="J23" s="17">
        <f>Tabelle3[[#This Row],[Mythos (Backer)]]/$V$24*$J$24</f>
        <v>335.85630567276144</v>
      </c>
      <c r="K23" s="4">
        <f>Tabelle3[[#This Row],[DSK (€)]]/$W$24*$I$24</f>
        <v>54792.209368036936</v>
      </c>
      <c r="L23" s="4">
        <f>Tabelle3[[#This Row],[DSK (Backer)]]/$X$24*$L$24</f>
        <v>308.91463414634148</v>
      </c>
      <c r="M23" s="4">
        <f>Tabelle3[[#This Row],[Mythen (€)]]/$Y$24*$M$24</f>
        <v>54719.598504461064</v>
      </c>
      <c r="N23" s="4">
        <f>Tabelle3[[#This Row],[Mythen (Backer)]]/$Z$24*$N$24</f>
        <v>307.82258064516128</v>
      </c>
      <c r="O23" s="4">
        <f>Tabelle3[[#This Row],[SOK (€)]]/$AA$24*$M$24</f>
        <v>57577.401311938731</v>
      </c>
      <c r="P23" s="4">
        <f>Tabelle3[[#This Row],[SOK (Backer)]]/$AB$24*$N$24</f>
        <v>322.18449519230768</v>
      </c>
      <c r="Q23" s="18">
        <f t="shared" si="10"/>
        <v>252116.90000000005</v>
      </c>
      <c r="R23" s="18">
        <f t="shared" si="11"/>
        <v>1504.8000000000004</v>
      </c>
      <c r="S23" s="13">
        <v>130324</v>
      </c>
      <c r="T23" s="13">
        <v>576</v>
      </c>
      <c r="U23" s="18">
        <f t="shared" si="4"/>
        <v>115297.66666666661</v>
      </c>
      <c r="V23" s="18">
        <f t="shared" si="5"/>
        <v>688.16666666666674</v>
      </c>
      <c r="W23" s="51">
        <v>108862</v>
      </c>
      <c r="X23" s="51">
        <v>584</v>
      </c>
      <c r="Y23" s="50">
        <v>78993</v>
      </c>
      <c r="Z23" s="50">
        <v>440</v>
      </c>
      <c r="AA23" s="50">
        <v>220897</v>
      </c>
      <c r="AB23" s="50">
        <v>1545</v>
      </c>
      <c r="AC23" s="50">
        <f>'Rohals Erben'!Z201</f>
        <v>330836</v>
      </c>
      <c r="AD23" s="50">
        <f>'Rohals Erben'!AA201</f>
        <v>1421</v>
      </c>
      <c r="AE23" s="14">
        <f>Tabelle3[[#This Row],[Nedime (€)]]/C$24</f>
        <v>0.87596439169139462</v>
      </c>
      <c r="AF23" s="14">
        <f>Tabelle3[[#This Row],[Nedime (Backer)]]/D$24</f>
        <v>0.86455331412103742</v>
      </c>
      <c r="AG23" s="14"/>
      <c r="AH23" s="14"/>
      <c r="AI23" s="14">
        <f>Tabelle3[[#This Row],[Werkzeuge (€)]]/S$24</f>
        <v>0.76417987463425219</v>
      </c>
      <c r="AJ23" s="14">
        <f>Tabelle3[[#This Row],[Werkzeuge (Backer)]]/T$24</f>
        <v>0.76190476190476186</v>
      </c>
      <c r="AK23" s="14"/>
      <c r="AL23" s="14"/>
      <c r="AN23" s="27" t="s">
        <v>82</v>
      </c>
      <c r="AO23" s="33" t="s">
        <v>83</v>
      </c>
      <c r="AP23" s="52"/>
      <c r="AQ23" s="62"/>
      <c r="AR23" s="34" t="s">
        <v>124</v>
      </c>
      <c r="AS23" s="33" t="s">
        <v>125</v>
      </c>
      <c r="AT23" s="34" t="s">
        <v>88</v>
      </c>
      <c r="AU23" s="28" t="s">
        <v>89</v>
      </c>
      <c r="AV23" s="34" t="s">
        <v>154</v>
      </c>
      <c r="AW23" s="28" t="s">
        <v>155</v>
      </c>
      <c r="AX23" s="34" t="s">
        <v>271</v>
      </c>
      <c r="AY23" s="28" t="s">
        <v>272</v>
      </c>
      <c r="AZ23" s="16" t="s">
        <v>91</v>
      </c>
      <c r="BA23" s="23">
        <f>MIN(AN24,AP24,AR24,AT24,AV24,AX24)</f>
        <v>1.874455346227391</v>
      </c>
      <c r="BB23" s="23">
        <f>MIN(AO24,AQ24,AS24,AU24,AW24,AY24)</f>
        <v>1.8675645342312008</v>
      </c>
      <c r="BC23"/>
    </row>
    <row r="24" spans="2:55" x14ac:dyDescent="0.25">
      <c r="B24">
        <v>21</v>
      </c>
      <c r="C24" s="3">
        <v>62345</v>
      </c>
      <c r="D24" s="3">
        <v>347</v>
      </c>
      <c r="E24" s="4">
        <f>Tabelle3[[#This Row],[Nedime (€)]]</f>
        <v>62345</v>
      </c>
      <c r="F24" s="4">
        <f>Tabelle3[[#This Row],[Nedime (Backer)]]</f>
        <v>347</v>
      </c>
      <c r="G24" s="12">
        <f>Tabelle3[[#This Row],[Nedime (€)]]</f>
        <v>62345</v>
      </c>
      <c r="H24" s="12">
        <f>Tabelle3[[#This Row],[Nedime (Backer)]]</f>
        <v>347</v>
      </c>
      <c r="I24" s="12">
        <f>Tabelle3[[#This Row],[Nedime (€)]]</f>
        <v>62345</v>
      </c>
      <c r="J24" s="12">
        <f>Tabelle3[[#This Row],[Nedime (Backer)]]</f>
        <v>347</v>
      </c>
      <c r="K24" s="12">
        <f>Tabelle3[[#This Row],[Nedime (€)]]</f>
        <v>62345</v>
      </c>
      <c r="L24" s="12">
        <f>Tabelle3[[#This Row],[Nedime (Backer)]]</f>
        <v>347</v>
      </c>
      <c r="M24" s="12">
        <f>Tabelle3[[#This Row],[Nedime (€)]]</f>
        <v>62345</v>
      </c>
      <c r="N24" s="12">
        <f>Tabelle3[[#This Row],[Nedime (Backer)]]</f>
        <v>347</v>
      </c>
      <c r="O24" s="4">
        <f>Tabelle3[[#This Row],[SOK (€)]]/$AA$24*$M$24</f>
        <v>62345</v>
      </c>
      <c r="P24" s="4">
        <f>Tabelle3[[#This Row],[SOK (Backer)]]/$AB$24*$N$24</f>
        <v>347</v>
      </c>
      <c r="Q24" s="3">
        <v>266241</v>
      </c>
      <c r="R24" s="3">
        <v>1572</v>
      </c>
      <c r="S24" s="13">
        <v>170541</v>
      </c>
      <c r="T24" s="13">
        <v>756</v>
      </c>
      <c r="U24" s="13">
        <v>119374</v>
      </c>
      <c r="V24" s="13">
        <v>711</v>
      </c>
      <c r="W24" s="51">
        <v>123868</v>
      </c>
      <c r="X24" s="51">
        <v>656</v>
      </c>
      <c r="Y24" s="50">
        <v>90001</v>
      </c>
      <c r="Z24" s="50">
        <v>496</v>
      </c>
      <c r="AA24" s="50">
        <v>239188</v>
      </c>
      <c r="AB24" s="50">
        <v>1664</v>
      </c>
      <c r="AC24" s="50">
        <f>'Rohals Erben'!Z202</f>
        <v>369421.03880597017</v>
      </c>
      <c r="AD24" s="50">
        <f>'Rohals Erben'!AA202</f>
        <v>1585</v>
      </c>
      <c r="AE24" s="14">
        <f>Tabelle3[[#This Row],[Nedime (€)]]/C$24</f>
        <v>1</v>
      </c>
      <c r="AF24" s="14">
        <f>Tabelle3[[#This Row],[Nedime (Backer)]]/D$24</f>
        <v>1</v>
      </c>
      <c r="AG24" s="9">
        <f>Tabelle3[[#This Row],[Thorwal (€)]]/Q$24</f>
        <v>1</v>
      </c>
      <c r="AH24" s="9">
        <f>Tabelle3[[#This Row],[Thorwal (Backer)]]/R$24</f>
        <v>1</v>
      </c>
      <c r="AI24" s="14">
        <f>Tabelle3[[#This Row],[Werkzeuge (€)]]/S$24</f>
        <v>1</v>
      </c>
      <c r="AJ24" s="14">
        <f>Tabelle3[[#This Row],[Werkzeuge (Backer)]]/T$24</f>
        <v>1</v>
      </c>
      <c r="AK24" s="14">
        <f>Tabelle3[[#This Row],[Mythos (€)]]/U$24</f>
        <v>1</v>
      </c>
      <c r="AL24" s="14">
        <f>Tabelle3[[#This Row],[Mythos (Backer)]]/V$24</f>
        <v>1</v>
      </c>
      <c r="AN24" s="27">
        <f>C24/C7</f>
        <v>3.301996716275621</v>
      </c>
      <c r="AO24" s="33">
        <f>D24/D7</f>
        <v>3.6526315789473682</v>
      </c>
      <c r="AP24" s="52"/>
      <c r="AQ24" s="62"/>
      <c r="AR24" s="53">
        <f>S24/S7</f>
        <v>2.8441038640494973</v>
      </c>
      <c r="AS24" s="57">
        <f>T24/T7</f>
        <v>3.0607287449392713</v>
      </c>
      <c r="AT24" s="53">
        <f t="shared" ref="AT24:AY24" si="13">W24/W7</f>
        <v>2.5828971787226056</v>
      </c>
      <c r="AU24" s="54">
        <f t="shared" si="13"/>
        <v>2.4848484848484849</v>
      </c>
      <c r="AV24" s="53">
        <f t="shared" si="13"/>
        <v>2.9679791584223718</v>
      </c>
      <c r="AW24" s="54">
        <f t="shared" si="13"/>
        <v>2.7865168539325844</v>
      </c>
      <c r="AX24" s="53">
        <f t="shared" si="13"/>
        <v>1.874455346227391</v>
      </c>
      <c r="AY24" s="54">
        <f t="shared" si="13"/>
        <v>1.8675645342312008</v>
      </c>
      <c r="AZ24" t="s">
        <v>92</v>
      </c>
      <c r="BA24" s="24">
        <f>MAX(AN24,AP24,AR24,AT24,AV24,AX24)</f>
        <v>3.301996716275621</v>
      </c>
      <c r="BB24" s="24">
        <f>MAX(,AO24,AQ24,AS24,AU24,AW24,AY24)</f>
        <v>3.6526315789473682</v>
      </c>
    </row>
    <row r="25" spans="2:55" ht="15.75" thickBot="1" x14ac:dyDescent="0.3">
      <c r="G25" s="12"/>
      <c r="H25" s="12"/>
      <c r="I25" s="12"/>
      <c r="J25" s="12"/>
      <c r="K25" s="12"/>
      <c r="L25" s="12"/>
      <c r="M25" s="12"/>
      <c r="N25" s="12"/>
      <c r="O25" s="12"/>
      <c r="P25" s="12"/>
      <c r="AN25" s="29"/>
      <c r="AO25" s="35">
        <f>AN24-AO24</f>
        <v>-0.35063486267174726</v>
      </c>
      <c r="AP25" s="63"/>
      <c r="AQ25" s="64"/>
      <c r="AR25" s="58"/>
      <c r="AS25" s="59">
        <f>AR24-AS24</f>
        <v>-0.21662488088977394</v>
      </c>
      <c r="AT25" s="36"/>
      <c r="AU25" s="30">
        <f>AT24-AU24</f>
        <v>9.804869387412074E-2</v>
      </c>
      <c r="AV25" s="36"/>
      <c r="AW25" s="30">
        <f>AV24-AW24</f>
        <v>0.1814623044897874</v>
      </c>
      <c r="AX25" s="36"/>
      <c r="AY25" s="30">
        <f>AX24-AY24</f>
        <v>6.8908119961901271E-3</v>
      </c>
    </row>
    <row r="26" spans="2:55" ht="15.75" thickBot="1" x14ac:dyDescent="0.3">
      <c r="V26" s="38"/>
      <c r="W26" s="38"/>
      <c r="X26" s="38"/>
      <c r="AA26" s="37" t="s">
        <v>126</v>
      </c>
      <c r="AB26" s="40" t="s">
        <v>128</v>
      </c>
      <c r="AC26" s="68">
        <f>$AC$4*BA8</f>
        <v>221145.2789658439</v>
      </c>
      <c r="AD26" s="68">
        <f>$AD$4*BB8</f>
        <v>907.87839999999994</v>
      </c>
      <c r="AG26" s="69">
        <f>AC26/AD26</f>
        <v>243.58469037906829</v>
      </c>
      <c r="AH26" s="69"/>
    </row>
    <row r="27" spans="2:55" x14ac:dyDescent="0.25">
      <c r="V27" s="38"/>
      <c r="W27" s="38"/>
      <c r="X27" s="38"/>
      <c r="AA27" s="37"/>
      <c r="AB27" s="37" t="s">
        <v>129</v>
      </c>
      <c r="AC27" s="68">
        <f>$AC$4*BA9</f>
        <v>380737.45492555579</v>
      </c>
      <c r="AD27" s="68">
        <f>$AD$4*BB9</f>
        <v>1620.9178082191781</v>
      </c>
      <c r="AE27" s="39"/>
      <c r="AF27" s="39"/>
      <c r="AG27" s="69">
        <f>AC27/AD27</f>
        <v>234.89004377331946</v>
      </c>
      <c r="AH27" s="69"/>
      <c r="AN27" s="25" t="s">
        <v>161</v>
      </c>
      <c r="AO27" s="31" t="s">
        <v>161</v>
      </c>
      <c r="AP27" s="60"/>
      <c r="AQ27" s="61"/>
      <c r="AR27" s="55" t="s">
        <v>161</v>
      </c>
      <c r="AS27" s="56" t="s">
        <v>161</v>
      </c>
      <c r="AT27" s="32" t="s">
        <v>161</v>
      </c>
      <c r="AU27" s="26" t="s">
        <v>161</v>
      </c>
      <c r="AV27" s="32" t="s">
        <v>161</v>
      </c>
      <c r="AW27" s="26" t="s">
        <v>161</v>
      </c>
      <c r="AX27" s="32" t="s">
        <v>161</v>
      </c>
      <c r="AY27" s="26" t="s">
        <v>161</v>
      </c>
    </row>
    <row r="28" spans="2:55" x14ac:dyDescent="0.25">
      <c r="AA28" s="37"/>
      <c r="AB28" s="37"/>
      <c r="AE28" s="50">
        <f>AVERAGE(AC26:AC27)</f>
        <v>300941.36694569985</v>
      </c>
      <c r="AF28" s="50">
        <f>AVERAGE(AD26:AD27)</f>
        <v>1264.398104109589</v>
      </c>
      <c r="AG28" s="69"/>
      <c r="AH28" s="69">
        <f>AE28/AF28</f>
        <v>238.01156136470797</v>
      </c>
      <c r="AN28" s="27" t="s">
        <v>82</v>
      </c>
      <c r="AO28" s="33" t="s">
        <v>83</v>
      </c>
      <c r="AP28" s="52"/>
      <c r="AQ28" s="62"/>
      <c r="AR28" s="34" t="s">
        <v>124</v>
      </c>
      <c r="AS28" s="33" t="s">
        <v>125</v>
      </c>
      <c r="AT28" s="34" t="s">
        <v>88</v>
      </c>
      <c r="AU28" s="28" t="s">
        <v>89</v>
      </c>
      <c r="AV28" s="34" t="s">
        <v>154</v>
      </c>
      <c r="AW28" s="28" t="s">
        <v>155</v>
      </c>
      <c r="AX28" s="34" t="s">
        <v>271</v>
      </c>
      <c r="AY28" s="28" t="s">
        <v>272</v>
      </c>
      <c r="AZ28" s="16" t="s">
        <v>91</v>
      </c>
      <c r="BA28" s="23">
        <f>MIN(AN29,AP29,AR29,AT29,AV29,AX29)</f>
        <v>1.8220515867574691</v>
      </c>
      <c r="BB28" s="23">
        <f>MIN(AO29,AQ29,AS29,AU29,AW29,AY29)</f>
        <v>1.812636165577342</v>
      </c>
    </row>
    <row r="29" spans="2:55" x14ac:dyDescent="0.25">
      <c r="AA29" s="37" t="s">
        <v>127</v>
      </c>
      <c r="AB29" s="37" t="s">
        <v>128</v>
      </c>
      <c r="AC29" s="68">
        <f>$AC$5*BA13</f>
        <v>202104.34518389867</v>
      </c>
      <c r="AD29" s="68">
        <f>$AD$5*BB13</f>
        <v>852.03548795944243</v>
      </c>
      <c r="AE29" s="37"/>
      <c r="AF29" s="37"/>
      <c r="AG29" s="69">
        <f t="shared" ref="AG29:AG30" si="14">AC29/AD29</f>
        <v>237.20179269518758</v>
      </c>
      <c r="AH29" s="69"/>
      <c r="AN29" s="27">
        <f>C24/C8</f>
        <v>2.8486246915836606</v>
      </c>
      <c r="AO29" s="33">
        <f>D24/D8</f>
        <v>3.1261261261261262</v>
      </c>
      <c r="AP29" s="52"/>
      <c r="AQ29" s="62"/>
      <c r="AR29" s="53">
        <f>S24/S8</f>
        <v>2.7020676542818665</v>
      </c>
      <c r="AS29" s="57">
        <f>T24/T8</f>
        <v>2.8636363636363638</v>
      </c>
      <c r="AT29" s="53">
        <f t="shared" ref="AT29:AY29" si="15">W24/W8</f>
        <v>2.4401237121525519</v>
      </c>
      <c r="AU29" s="54">
        <f t="shared" si="15"/>
        <v>2.342857142857143</v>
      </c>
      <c r="AV29" s="53">
        <f t="shared" si="15"/>
        <v>2.7589896079212779</v>
      </c>
      <c r="AW29" s="54">
        <f t="shared" si="15"/>
        <v>2.5968586387434556</v>
      </c>
      <c r="AX29" s="53">
        <f t="shared" si="15"/>
        <v>1.8220515867574691</v>
      </c>
      <c r="AY29" s="54">
        <f t="shared" si="15"/>
        <v>1.812636165577342</v>
      </c>
      <c r="AZ29" t="s">
        <v>92</v>
      </c>
      <c r="BA29" s="24">
        <f>MAX(AN29,AP29,AR29,AT29,AV29,AX29)</f>
        <v>2.8486246915836606</v>
      </c>
      <c r="BB29" s="24">
        <f>MAX(,AO29,AQ29,AS29,AU29,AW29,AY29)</f>
        <v>3.1261261261261262</v>
      </c>
    </row>
    <row r="30" spans="2:55" ht="15.75" thickBot="1" x14ac:dyDescent="0.3">
      <c r="V30" s="38"/>
      <c r="W30" s="38"/>
      <c r="X30" s="38"/>
      <c r="AA30" s="37"/>
      <c r="AB30" s="37" t="s">
        <v>129</v>
      </c>
      <c r="AC30" s="68">
        <f>$AC$5*BA14</f>
        <v>358242.01622524456</v>
      </c>
      <c r="AD30" s="68">
        <f>$AD$5*BB14</f>
        <v>1709.6097560975609</v>
      </c>
      <c r="AE30" s="39"/>
      <c r="AF30" s="39"/>
      <c r="AG30" s="69">
        <f t="shared" si="14"/>
        <v>209.54607620103044</v>
      </c>
      <c r="AH30" s="69"/>
      <c r="AN30" s="29"/>
      <c r="AO30" s="35">
        <f>AN29-AO29</f>
        <v>-0.27750143454246556</v>
      </c>
      <c r="AP30" s="63"/>
      <c r="AQ30" s="64"/>
      <c r="AR30" s="58"/>
      <c r="AS30" s="59">
        <f>AR29-AS29</f>
        <v>-0.1615687093544973</v>
      </c>
      <c r="AT30" s="36"/>
      <c r="AU30" s="30">
        <f>AT29-AU29</f>
        <v>9.7266569295408889E-2</v>
      </c>
      <c r="AV30" s="36"/>
      <c r="AW30" s="30">
        <f>AV29-AW29</f>
        <v>0.16213096917782233</v>
      </c>
      <c r="AX30" s="36"/>
      <c r="AY30" s="30">
        <f>AX29-AY29</f>
        <v>9.4154211801271703E-3</v>
      </c>
    </row>
    <row r="31" spans="2:55" ht="15.75" thickBot="1" x14ac:dyDescent="0.3">
      <c r="V31" s="38"/>
      <c r="W31" s="38"/>
      <c r="X31" s="38"/>
      <c r="AA31" s="37"/>
      <c r="AB31" s="37"/>
      <c r="AE31" s="50">
        <f>AVERAGE(AC29:AC30)</f>
        <v>280173.1807045716</v>
      </c>
      <c r="AF31" s="50">
        <f>AVERAGE(AD29:AD30)</f>
        <v>1280.8226220285017</v>
      </c>
      <c r="AG31" s="69"/>
      <c r="AH31" s="69">
        <f t="shared" ref="AH31" si="16">AE31/AF31</f>
        <v>218.74471600200781</v>
      </c>
    </row>
    <row r="32" spans="2:55" x14ac:dyDescent="0.25">
      <c r="AA32" s="37" t="s">
        <v>149</v>
      </c>
      <c r="AB32" s="37" t="s">
        <v>128</v>
      </c>
      <c r="AC32" s="68">
        <f>$AC$6*BA18</f>
        <v>224795.99601694429</v>
      </c>
      <c r="AD32" s="68">
        <f>$AD$6*BB18</f>
        <v>937.46478873239437</v>
      </c>
      <c r="AE32" s="37"/>
      <c r="AF32" s="37"/>
      <c r="AG32" s="69">
        <f t="shared" ref="AG32:AG33" si="17">AC32/AD32</f>
        <v>239.79140200124766</v>
      </c>
      <c r="AH32" s="69"/>
      <c r="AN32" s="25" t="s">
        <v>164</v>
      </c>
      <c r="AO32" s="31" t="s">
        <v>164</v>
      </c>
      <c r="AP32" s="60"/>
      <c r="AQ32" s="61"/>
      <c r="AR32" s="55" t="s">
        <v>164</v>
      </c>
      <c r="AS32" s="56" t="s">
        <v>164</v>
      </c>
      <c r="AT32" s="32" t="s">
        <v>164</v>
      </c>
      <c r="AU32" s="26" t="s">
        <v>164</v>
      </c>
      <c r="AV32" s="32" t="s">
        <v>164</v>
      </c>
      <c r="AW32" s="26" t="s">
        <v>164</v>
      </c>
      <c r="AX32" s="32" t="s">
        <v>164</v>
      </c>
      <c r="AY32" s="26" t="s">
        <v>164</v>
      </c>
    </row>
    <row r="33" spans="25:54" x14ac:dyDescent="0.25">
      <c r="AA33" s="37"/>
      <c r="AB33" s="37" t="s">
        <v>129</v>
      </c>
      <c r="AC33" s="68">
        <f>$AC$6*BA19</f>
        <v>406180.81447323749</v>
      </c>
      <c r="AD33" s="68">
        <f>$AD$6*BB19</f>
        <v>1850.6666666666667</v>
      </c>
      <c r="AG33" s="69">
        <f t="shared" si="17"/>
        <v>219.47810580326234</v>
      </c>
      <c r="AH33" s="69"/>
      <c r="AN33" s="27" t="s">
        <v>82</v>
      </c>
      <c r="AO33" s="33" t="s">
        <v>83</v>
      </c>
      <c r="AP33" s="52"/>
      <c r="AQ33" s="62"/>
      <c r="AR33" s="34" t="s">
        <v>124</v>
      </c>
      <c r="AS33" s="33" t="s">
        <v>125</v>
      </c>
      <c r="AT33" s="34" t="s">
        <v>88</v>
      </c>
      <c r="AU33" s="28" t="s">
        <v>89</v>
      </c>
      <c r="AV33" s="34" t="s">
        <v>154</v>
      </c>
      <c r="AW33" s="28" t="s">
        <v>155</v>
      </c>
      <c r="AX33" s="34" t="s">
        <v>271</v>
      </c>
      <c r="AY33" s="28" t="s">
        <v>272</v>
      </c>
      <c r="AZ33" s="16" t="s">
        <v>91</v>
      </c>
      <c r="BA33" s="23">
        <f>MIN(AN34,AP34,AR34,AT34,AV34,AX34)</f>
        <v>1.7640143665233456</v>
      </c>
      <c r="BB33" s="23">
        <f>MIN(AO34,AQ34,AS34,AU34,AW34,AY34)</f>
        <v>1.746065057712487</v>
      </c>
    </row>
    <row r="34" spans="25:54" x14ac:dyDescent="0.25">
      <c r="AA34" s="37"/>
      <c r="AB34" s="37"/>
      <c r="AE34" s="50">
        <f>AVERAGE(AC32:AC33)</f>
        <v>315488.40524509089</v>
      </c>
      <c r="AF34" s="50">
        <f>AVERAGE(AD32:AD33)</f>
        <v>1394.0657276995305</v>
      </c>
      <c r="AG34" s="69"/>
      <c r="AH34" s="69">
        <f t="shared" ref="AH34" si="18">AE34/AF34</f>
        <v>226.30812807205714</v>
      </c>
      <c r="AN34" s="27">
        <f>C24/C9</f>
        <v>2.7621726994816358</v>
      </c>
      <c r="AO34" s="33">
        <f>D24/D9</f>
        <v>3.0173913043478264</v>
      </c>
      <c r="AP34" s="52"/>
      <c r="AQ34" s="62"/>
      <c r="AR34" s="53">
        <f>S24/S9</f>
        <v>2.6177472831092281</v>
      </c>
      <c r="AS34" s="57">
        <f>T24/T9</f>
        <v>2.7591240875912408</v>
      </c>
      <c r="AT34" s="53">
        <f t="shared" ref="AT34:AY34" si="19">W24/W9</f>
        <v>2.3011387913578183</v>
      </c>
      <c r="AU34" s="54">
        <f t="shared" si="19"/>
        <v>2.2312925170068025</v>
      </c>
      <c r="AV34" s="53">
        <f t="shared" si="19"/>
        <v>2.4012432966036124</v>
      </c>
      <c r="AW34" s="54">
        <f t="shared" si="19"/>
        <v>2.2545454545454544</v>
      </c>
      <c r="AX34" s="53">
        <f t="shared" si="19"/>
        <v>1.7640143665233456</v>
      </c>
      <c r="AY34" s="54">
        <f t="shared" si="19"/>
        <v>1.746065057712487</v>
      </c>
      <c r="AZ34" t="s">
        <v>92</v>
      </c>
      <c r="BA34" s="24">
        <f>MAX(AN34,AP34,AR34,AT34,AV34,AX34)</f>
        <v>2.7621726994816358</v>
      </c>
      <c r="BB34" s="24">
        <f>MAX(,AO34,AQ34,AS34,AU34,AW34,AY34)</f>
        <v>3.0173913043478264</v>
      </c>
    </row>
    <row r="35" spans="25:54" ht="15.75" thickBot="1" x14ac:dyDescent="0.3">
      <c r="AA35" s="37" t="s">
        <v>162</v>
      </c>
      <c r="AB35" s="37" t="s">
        <v>128</v>
      </c>
      <c r="AC35" s="68">
        <f>$AC$7*BA23</f>
        <v>232121.30334472272</v>
      </c>
      <c r="AD35" s="68">
        <f>$AD$7*BB23</f>
        <v>971.13355780022448</v>
      </c>
      <c r="AG35" s="69">
        <f t="shared" ref="AG35:AG36" si="20">AC35/AD35</f>
        <v>239.02098890549641</v>
      </c>
      <c r="AH35" s="69"/>
      <c r="AN35" s="29"/>
      <c r="AO35" s="35">
        <f>AN34-AO34</f>
        <v>-0.25521860486619063</v>
      </c>
      <c r="AP35" s="63"/>
      <c r="AQ35" s="64"/>
      <c r="AR35" s="58"/>
      <c r="AS35" s="59">
        <f>AR34-AS34</f>
        <v>-0.14137680448201273</v>
      </c>
      <c r="AT35" s="36"/>
      <c r="AU35" s="30">
        <f>AT34-AU34</f>
        <v>6.9846274351015758E-2</v>
      </c>
      <c r="AV35" s="36"/>
      <c r="AW35" s="30">
        <f>AV34-AW34</f>
        <v>0.14669784205815795</v>
      </c>
      <c r="AX35" s="36"/>
      <c r="AY35" s="30">
        <f>AX34-AY34</f>
        <v>1.7949308810858655E-2</v>
      </c>
    </row>
    <row r="36" spans="25:54" ht="15.75" thickBot="1" x14ac:dyDescent="0.3">
      <c r="AA36" s="37"/>
      <c r="AB36" s="37" t="s">
        <v>129</v>
      </c>
      <c r="AC36" s="68">
        <f>$AC$7*BA24</f>
        <v>408899.46136327524</v>
      </c>
      <c r="AD36" s="68">
        <f>$AD$7*BB24</f>
        <v>1899.3684210526314</v>
      </c>
      <c r="AG36" s="69">
        <f t="shared" si="20"/>
        <v>215.28180464149386</v>
      </c>
      <c r="AH36" s="69"/>
    </row>
    <row r="37" spans="25:54" x14ac:dyDescent="0.25">
      <c r="AA37" s="37"/>
      <c r="AB37" s="37"/>
      <c r="AE37" s="50">
        <f>AVERAGE(AC35:AC36)</f>
        <v>320510.38235399895</v>
      </c>
      <c r="AF37" s="50">
        <f>AVERAGE(AD35:AD36)</f>
        <v>1435.2509894264281</v>
      </c>
      <c r="AG37" s="69"/>
      <c r="AH37" s="69">
        <f t="shared" ref="AH37" si="21">AE37/AF37</f>
        <v>223.31312412617467</v>
      </c>
      <c r="AN37" s="25" t="s">
        <v>167</v>
      </c>
      <c r="AO37" s="31" t="s">
        <v>167</v>
      </c>
      <c r="AP37" s="60"/>
      <c r="AQ37" s="61"/>
      <c r="AR37" s="55" t="s">
        <v>167</v>
      </c>
      <c r="AS37" s="56" t="s">
        <v>167</v>
      </c>
      <c r="AT37" s="32" t="s">
        <v>167</v>
      </c>
      <c r="AU37" s="26" t="s">
        <v>167</v>
      </c>
      <c r="AV37" s="32" t="s">
        <v>167</v>
      </c>
      <c r="AW37" s="26" t="s">
        <v>167</v>
      </c>
      <c r="AX37" s="32" t="s">
        <v>167</v>
      </c>
      <c r="AY37" s="26" t="s">
        <v>167</v>
      </c>
    </row>
    <row r="38" spans="25:54" x14ac:dyDescent="0.25">
      <c r="AA38" s="37" t="s">
        <v>163</v>
      </c>
      <c r="AB38" s="37" t="s">
        <v>128</v>
      </c>
      <c r="AC38" s="68">
        <f>$AC$8*BA28</f>
        <v>240514.45355515945</v>
      </c>
      <c r="AD38" s="68">
        <f>$AD$8*BB28</f>
        <v>1022.3267973856209</v>
      </c>
      <c r="AG38" s="69">
        <f t="shared" ref="AG38:AG39" si="22">AC38/AD38</f>
        <v>235.26181077344643</v>
      </c>
      <c r="AH38" s="69"/>
      <c r="AN38" s="27" t="s">
        <v>82</v>
      </c>
      <c r="AO38" s="33" t="s">
        <v>83</v>
      </c>
      <c r="AP38" s="52"/>
      <c r="AQ38" s="62"/>
      <c r="AR38" s="34" t="s">
        <v>124</v>
      </c>
      <c r="AS38" s="33" t="s">
        <v>125</v>
      </c>
      <c r="AT38" s="34" t="s">
        <v>88</v>
      </c>
      <c r="AU38" s="28" t="s">
        <v>89</v>
      </c>
      <c r="AV38" s="34" t="s">
        <v>154</v>
      </c>
      <c r="AW38" s="28" t="s">
        <v>155</v>
      </c>
      <c r="AX38" s="34" t="s">
        <v>271</v>
      </c>
      <c r="AY38" s="28" t="s">
        <v>272</v>
      </c>
      <c r="AZ38" s="16" t="s">
        <v>91</v>
      </c>
      <c r="BA38" s="23">
        <f>MIN(AN39,AP39,AR39,AT39,AV39,AX39)</f>
        <v>1.6238484151068928</v>
      </c>
      <c r="BB38" s="23">
        <f>MIN(AO39,AQ39,AS39,AU39,AW39,AY39)</f>
        <v>1.5938697318007662</v>
      </c>
    </row>
    <row r="39" spans="25:54" x14ac:dyDescent="0.25">
      <c r="AA39" s="37"/>
      <c r="AB39" s="37" t="s">
        <v>129</v>
      </c>
      <c r="AC39" s="68">
        <f>$AC$8*BA29</f>
        <v>376024.15653842635</v>
      </c>
      <c r="AD39" s="68">
        <f>$AD$8*BB29</f>
        <v>1763.1351351351352</v>
      </c>
      <c r="AG39" s="69">
        <f t="shared" si="22"/>
        <v>213.27018504999961</v>
      </c>
      <c r="AH39" s="69"/>
      <c r="AN39" s="27">
        <f>C24/C10</f>
        <v>2.5783705541770057</v>
      </c>
      <c r="AO39" s="33">
        <f>D24/D10</f>
        <v>2.7983870967741935</v>
      </c>
      <c r="AP39" s="52"/>
      <c r="AQ39" s="62"/>
      <c r="AR39" s="53">
        <f>S24/S10</f>
        <v>2.4494922654869797</v>
      </c>
      <c r="AS39" s="57">
        <f>T24/T10</f>
        <v>2.5627118644067797</v>
      </c>
      <c r="AT39" s="53">
        <f t="shared" ref="AT39:AY39" si="23">W24/W10</f>
        <v>2.2126793019060038</v>
      </c>
      <c r="AU39" s="54">
        <f t="shared" si="23"/>
        <v>2.1298701298701297</v>
      </c>
      <c r="AV39" s="53">
        <f t="shared" si="23"/>
        <v>2.2375506550978295</v>
      </c>
      <c r="AW39" s="54">
        <f t="shared" si="23"/>
        <v>2.1016949152542375</v>
      </c>
      <c r="AX39" s="53">
        <f t="shared" si="23"/>
        <v>1.6238484151068928</v>
      </c>
      <c r="AY39" s="54">
        <f t="shared" si="23"/>
        <v>1.5938697318007662</v>
      </c>
      <c r="AZ39" t="s">
        <v>92</v>
      </c>
      <c r="BA39" s="24">
        <f>MAX(AN39,AP39,AR39,AT39,AV39,AX39)</f>
        <v>2.5783705541770057</v>
      </c>
      <c r="BB39" s="24">
        <f>MAX(,AO39,AQ39,AS39,AU39,AW39,AY39)</f>
        <v>2.7983870967741935</v>
      </c>
    </row>
    <row r="40" spans="25:54" ht="15.75" thickBot="1" x14ac:dyDescent="0.3">
      <c r="AA40" s="37"/>
      <c r="AB40" s="37"/>
      <c r="AE40" s="50">
        <f>AVERAGE(AC38:AC39)</f>
        <v>308269.3050467929</v>
      </c>
      <c r="AF40" s="50">
        <f>AVERAGE(AD38:AD39)</f>
        <v>1392.730966260378</v>
      </c>
      <c r="AG40" s="69"/>
      <c r="AH40" s="69">
        <f t="shared" ref="AH40" si="24">AE40/AF40</f>
        <v>221.34160330657889</v>
      </c>
      <c r="AN40" s="29"/>
      <c r="AO40" s="35">
        <f>AN39-AO39</f>
        <v>-0.22001654259718784</v>
      </c>
      <c r="AP40" s="63"/>
      <c r="AQ40" s="64"/>
      <c r="AR40" s="58"/>
      <c r="AS40" s="59">
        <f>AR39-AS39</f>
        <v>-0.11321959891979994</v>
      </c>
      <c r="AT40" s="36"/>
      <c r="AU40" s="30">
        <f>AT39-AU39</f>
        <v>8.2809172035874123E-2</v>
      </c>
      <c r="AV40" s="36"/>
      <c r="AW40" s="30">
        <f>AV39-AW39</f>
        <v>0.135855739843592</v>
      </c>
      <c r="AX40" s="36"/>
      <c r="AY40" s="30">
        <f>AX39-AY39</f>
        <v>2.997868330612663E-2</v>
      </c>
    </row>
    <row r="41" spans="25:54" x14ac:dyDescent="0.25">
      <c r="AA41" s="37" t="s">
        <v>165</v>
      </c>
      <c r="AB41" s="37" t="s">
        <v>128</v>
      </c>
      <c r="AC41" s="68">
        <f>$AC$9*BA33</f>
        <v>266290.31672726467</v>
      </c>
      <c r="AD41" s="68">
        <f>$AD$9*BB33</f>
        <v>1138.4344176285415</v>
      </c>
      <c r="AG41" s="69">
        <f t="shared" ref="AG41:AG42" si="25">AC41/AD41</f>
        <v>233.90922885305127</v>
      </c>
      <c r="AH41" s="69"/>
    </row>
    <row r="42" spans="25:54" x14ac:dyDescent="0.25">
      <c r="AA42" s="37"/>
      <c r="AB42" s="37" t="s">
        <v>129</v>
      </c>
      <c r="AC42" s="68">
        <f>$AC$9*BA34</f>
        <v>416969.30419564928</v>
      </c>
      <c r="AD42" s="68">
        <f>$AD$9*BB34</f>
        <v>1967.3391304347829</v>
      </c>
      <c r="AG42" s="69">
        <f t="shared" si="25"/>
        <v>211.94581948029412</v>
      </c>
      <c r="AH42" s="69"/>
    </row>
    <row r="43" spans="25:54" x14ac:dyDescent="0.25">
      <c r="AA43" s="37"/>
      <c r="AB43" s="37"/>
      <c r="AE43" s="50">
        <f>AVERAGE(AC41:AC42)</f>
        <v>341629.810461457</v>
      </c>
      <c r="AF43" s="50">
        <f>AVERAGE(AD41:AD42)</f>
        <v>1552.8867740316623</v>
      </c>
      <c r="AG43" s="69"/>
      <c r="AH43" s="69">
        <f t="shared" ref="AH43" si="26">AE43/AF43</f>
        <v>219.99659999325323</v>
      </c>
    </row>
    <row r="44" spans="25:54" x14ac:dyDescent="0.25">
      <c r="AA44" s="37" t="s">
        <v>166</v>
      </c>
      <c r="AB44" s="37" t="s">
        <v>128</v>
      </c>
      <c r="AC44" s="68">
        <f>$AC$10*BA38</f>
        <v>267108.44964934792</v>
      </c>
      <c r="AD44" s="68">
        <f>$AD$10*BB38</f>
        <v>1130.0536398467432</v>
      </c>
      <c r="AG44" s="69">
        <f t="shared" ref="AG44:AG45" si="27">AC44/AD44</f>
        <v>236.36793885781645</v>
      </c>
      <c r="AH44" s="69"/>
    </row>
    <row r="45" spans="25:54" x14ac:dyDescent="0.25">
      <c r="AA45" s="37"/>
      <c r="AB45" s="37" t="s">
        <v>129</v>
      </c>
      <c r="AC45" s="68">
        <f>$AC$10*BA39</f>
        <v>424118.75082712981</v>
      </c>
      <c r="AD45" s="68">
        <f>$AD$10*BB39</f>
        <v>1984.0564516129032</v>
      </c>
      <c r="AG45" s="69">
        <f t="shared" si="27"/>
        <v>213.76344936271852</v>
      </c>
      <c r="AH45" s="69"/>
    </row>
    <row r="46" spans="25:54" x14ac:dyDescent="0.25">
      <c r="AA46" s="37"/>
      <c r="AB46" s="37"/>
      <c r="AE46" s="50">
        <f>AVERAGE(AC44:AC45)</f>
        <v>345613.60023823887</v>
      </c>
      <c r="AF46" s="50">
        <f>AVERAGE(AD44:AD45)</f>
        <v>1557.0550457298232</v>
      </c>
      <c r="AG46" s="69"/>
      <c r="AH46" s="69">
        <f t="shared" ref="AH46" si="28">AE46/AF46</f>
        <v>221.96620548905693</v>
      </c>
    </row>
    <row r="47" spans="25:54" x14ac:dyDescent="0.25">
      <c r="Y47" s="37"/>
      <c r="Z47" s="37"/>
      <c r="AA47" s="37"/>
      <c r="AB47" s="37"/>
      <c r="AC47" s="37"/>
      <c r="AD47" s="37"/>
      <c r="AG47" s="69"/>
      <c r="AH47" s="69"/>
    </row>
    <row r="48" spans="25:54" x14ac:dyDescent="0.25">
      <c r="AG48" s="69"/>
      <c r="AH48" s="69"/>
    </row>
    <row r="49" spans="29:34" x14ac:dyDescent="0.25">
      <c r="AC49" s="3">
        <f>AVERAGE(AC26:AC45)</f>
        <v>316089.43585655</v>
      </c>
      <c r="AD49" s="3">
        <f>AVERAGE(AD26:AD45)</f>
        <v>1411.0300327551306</v>
      </c>
      <c r="AG49" s="69"/>
      <c r="AH49" s="69"/>
    </row>
    <row r="50" spans="29:34" x14ac:dyDescent="0.25">
      <c r="AC50" s="21">
        <f>AC49/AD49</f>
        <v>224.01325876768493</v>
      </c>
    </row>
  </sheetData>
  <phoneticPr fontId="5" type="noConversion"/>
  <conditionalFormatting sqref="AE3:AL2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14:AY1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9:AY9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19:AY1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4:AY2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9:AY2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6:AC4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6:AD4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:AY3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9:AY3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8:AE4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8:AF4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:AG4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8:AH4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Rohals Erben</vt:lpstr>
      <vt:lpstr>Vergleich</vt:lpstr>
      <vt:lpstr>'Rohals Erben'!Druckbereich</vt:lpstr>
      <vt:lpstr>'Rohals Erben'!Drucktitel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Gernot</dc:creator>
  <cp:lastModifiedBy>Gernot</cp:lastModifiedBy>
  <cp:lastPrinted>2021-10-19T19:59:30Z</cp:lastPrinted>
  <dcterms:created xsi:type="dcterms:W3CDTF">2021-01-19T21:15:58Z</dcterms:created>
  <dcterms:modified xsi:type="dcterms:W3CDTF">2021-10-19T19:59:43Z</dcterms:modified>
</cp:coreProperties>
</file>