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isc\DSA\CFs\Sonnenküste\"/>
    </mc:Choice>
  </mc:AlternateContent>
  <xr:revisionPtr revIDLastSave="0" documentId="13_ncr:1_{AE3CD5A5-2389-4145-9EB0-949FBB295CF8}" xr6:coauthVersionLast="46" xr6:coauthVersionMax="46" xr10:uidLastSave="{00000000-0000-0000-0000-000000000000}"/>
  <bookViews>
    <workbookView xWindow="-120" yWindow="-120" windowWidth="35685" windowHeight="21840" xr2:uid="{3C0DC3EB-12BA-4DE2-BE53-BC5B92B614A4}"/>
  </bookViews>
  <sheets>
    <sheet name="Sonnenküste" sheetId="1" r:id="rId1"/>
    <sheet name="Vergleich" sheetId="2" state="hidden" r:id="rId2"/>
  </sheets>
  <definedNames>
    <definedName name="_xlnm.Print_Area" localSheetId="0">Sonnenküste!$A$5:$O$199</definedName>
    <definedName name="_xlnm.Print_Titles" localSheetId="0">Sonnenküste!$5:$14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90" i="1" l="1"/>
  <c r="AA189" i="1"/>
  <c r="AA188" i="1"/>
  <c r="H21" i="1" s="1"/>
  <c r="AA187" i="1"/>
  <c r="H28" i="1" s="1"/>
  <c r="H17" i="1"/>
  <c r="H22" i="1"/>
  <c r="AA186" i="1"/>
  <c r="H26" i="1" s="1"/>
  <c r="AA185" i="1"/>
  <c r="H27" i="1" s="1"/>
  <c r="Q101" i="1"/>
  <c r="C7" i="1"/>
  <c r="C6" i="1"/>
  <c r="AA182" i="1"/>
  <c r="H36" i="1" s="1"/>
  <c r="AA183" i="1"/>
  <c r="H32" i="1" s="1"/>
  <c r="AA184" i="1"/>
  <c r="H20" i="1" s="1"/>
  <c r="AA181" i="1"/>
  <c r="H34" i="1" s="1"/>
  <c r="AA180" i="1"/>
  <c r="H35" i="1" s="1"/>
  <c r="AA179" i="1"/>
  <c r="H29" i="1" s="1"/>
  <c r="AA178" i="1"/>
  <c r="AF209" i="1"/>
  <c r="AF210" i="1" s="1"/>
  <c r="AA177" i="1"/>
  <c r="H24" i="1" s="1"/>
  <c r="BK190" i="1"/>
  <c r="N151" i="1"/>
  <c r="Q106" i="1"/>
  <c r="Q104" i="1"/>
  <c r="Q109" i="1"/>
  <c r="Q98" i="1"/>
  <c r="Q112" i="1"/>
  <c r="Q100" i="1"/>
  <c r="Q108" i="1"/>
  <c r="Q103" i="1"/>
  <c r="Q99" i="1"/>
  <c r="E151" i="1"/>
  <c r="H30" i="1" l="1"/>
  <c r="K151" i="1"/>
  <c r="J151" i="1"/>
  <c r="I151" i="1"/>
  <c r="H151" i="1"/>
  <c r="G151" i="1"/>
  <c r="F151" i="1"/>
  <c r="Q147" i="1"/>
  <c r="Q146" i="1"/>
  <c r="Q133" i="1"/>
  <c r="Q131" i="1"/>
  <c r="Q130" i="1"/>
  <c r="Q111" i="1"/>
  <c r="Q110" i="1"/>
  <c r="D16" i="1"/>
  <c r="AD31" i="2"/>
  <c r="AC30" i="2"/>
  <c r="AC29" i="2"/>
  <c r="AD28" i="2"/>
  <c r="AC27" i="2"/>
  <c r="AC26" i="2"/>
  <c r="AS39" i="2"/>
  <c r="AR39" i="2"/>
  <c r="AQ39" i="2"/>
  <c r="AP39" i="2"/>
  <c r="AQ40" i="2" s="1"/>
  <c r="AO39" i="2"/>
  <c r="AV38" i="2" s="1"/>
  <c r="AN39" i="2"/>
  <c r="AK39" i="2"/>
  <c r="AJ39" i="2"/>
  <c r="AU39" i="2" s="1"/>
  <c r="AS40" i="2"/>
  <c r="AO40" i="2"/>
  <c r="AV39" i="2"/>
  <c r="AA176" i="1"/>
  <c r="K2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197" i="1"/>
  <c r="F155" i="1" l="1"/>
  <c r="F153" i="1"/>
  <c r="F154" i="1"/>
  <c r="F157" i="1"/>
  <c r="F156" i="1"/>
  <c r="H19" i="1"/>
  <c r="E152" i="1"/>
  <c r="H156" i="1"/>
  <c r="H155" i="1"/>
  <c r="H157" i="1"/>
  <c r="H153" i="1"/>
  <c r="H152" i="1"/>
  <c r="I153" i="1"/>
  <c r="I157" i="1"/>
  <c r="I152" i="1"/>
  <c r="I156" i="1"/>
  <c r="I154" i="1"/>
  <c r="J157" i="1"/>
  <c r="J152" i="1"/>
  <c r="J154" i="1"/>
  <c r="J153" i="1"/>
  <c r="J155" i="1"/>
  <c r="K156" i="1"/>
  <c r="K152" i="1"/>
  <c r="K155" i="1"/>
  <c r="K154" i="1"/>
  <c r="K153" i="1"/>
  <c r="E157" i="1"/>
  <c r="E156" i="1"/>
  <c r="E155" i="1"/>
  <c r="E154" i="1"/>
  <c r="G157" i="1"/>
  <c r="G152" i="1"/>
  <c r="G156" i="1"/>
  <c r="G155" i="1"/>
  <c r="G154" i="1"/>
  <c r="E153" i="1"/>
  <c r="AX212" i="1"/>
  <c r="BG212" i="1"/>
  <c r="AV212" i="1"/>
  <c r="AZ212" i="1"/>
  <c r="BD212" i="1"/>
  <c r="BI212" i="1"/>
  <c r="AT212" i="1"/>
  <c r="BB212" i="1"/>
  <c r="AK40" i="2"/>
  <c r="AU38" i="2"/>
  <c r="AH192" i="1" l="1"/>
  <c r="AH193" i="1"/>
  <c r="AH194" i="1"/>
  <c r="AH195" i="1"/>
  <c r="AH196" i="1"/>
  <c r="AL196" i="1"/>
  <c r="AL195" i="1"/>
  <c r="AF173" i="1"/>
  <c r="AG173" i="1" s="1"/>
  <c r="AF174" i="1"/>
  <c r="AG174" i="1" s="1"/>
  <c r="AF175" i="1"/>
  <c r="AJ175" i="1" s="1"/>
  <c r="AK175" i="1" s="1"/>
  <c r="AS34" i="2"/>
  <c r="AR34" i="2"/>
  <c r="AQ34" i="2"/>
  <c r="AP34" i="2"/>
  <c r="AQ35" i="2" s="1"/>
  <c r="AO34" i="2"/>
  <c r="AN34" i="2"/>
  <c r="AK34" i="2"/>
  <c r="AJ34" i="2"/>
  <c r="AU34" i="2" s="1"/>
  <c r="AO35" i="2"/>
  <c r="AS35" i="2"/>
  <c r="AV34" i="2"/>
  <c r="AV33" i="2"/>
  <c r="AS29" i="2"/>
  <c r="AR29" i="2"/>
  <c r="AQ29" i="2"/>
  <c r="AP29" i="2"/>
  <c r="AQ30" i="2" s="1"/>
  <c r="AO29" i="2"/>
  <c r="AN29" i="2"/>
  <c r="AO30" i="2" s="1"/>
  <c r="AK29" i="2"/>
  <c r="AJ29" i="2"/>
  <c r="AK30" i="2" s="1"/>
  <c r="AV28" i="2"/>
  <c r="AS30" i="2"/>
  <c r="AU28" i="2"/>
  <c r="Y8" i="2"/>
  <c r="Z8" i="2"/>
  <c r="Z38" i="2" s="1"/>
  <c r="Y9" i="2"/>
  <c r="Y42" i="2" s="1"/>
  <c r="Z9" i="2"/>
  <c r="Z41" i="2" s="1"/>
  <c r="AA174" i="1"/>
  <c r="H33" i="1" s="1"/>
  <c r="AA175" i="1"/>
  <c r="H31" i="1" s="1"/>
  <c r="AB28" i="2"/>
  <c r="AA28" i="2"/>
  <c r="AS24" i="2"/>
  <c r="AR24" i="2"/>
  <c r="AS25" i="2" s="1"/>
  <c r="AQ24" i="2"/>
  <c r="AP24" i="2"/>
  <c r="AQ25" i="2" s="1"/>
  <c r="AO24" i="2"/>
  <c r="AN24" i="2"/>
  <c r="AU23" i="2" s="1"/>
  <c r="AK24" i="2"/>
  <c r="AJ24" i="2"/>
  <c r="AK25" i="2"/>
  <c r="AA172" i="1"/>
  <c r="H23" i="1" s="1"/>
  <c r="AA173" i="1"/>
  <c r="H25" i="1" s="1"/>
  <c r="AA171" i="1"/>
  <c r="H18" i="1" s="1"/>
  <c r="AF171" i="1"/>
  <c r="AG171" i="1" s="1"/>
  <c r="AF172" i="1"/>
  <c r="AG172" i="1" s="1"/>
  <c r="Z6" i="2"/>
  <c r="Y6" i="2"/>
  <c r="I162" i="1"/>
  <c r="I116" i="1"/>
  <c r="AH169" i="1"/>
  <c r="AL169" i="1" s="1"/>
  <c r="AF170" i="1"/>
  <c r="AF192" i="1" s="1"/>
  <c r="AF169" i="1"/>
  <c r="AJ169" i="1" s="1"/>
  <c r="Z27" i="2"/>
  <c r="Z26" i="2"/>
  <c r="Y27" i="2"/>
  <c r="Y26" i="2"/>
  <c r="AS19" i="2"/>
  <c r="AR19" i="2"/>
  <c r="AS14" i="2"/>
  <c r="AR14" i="2"/>
  <c r="AS15" i="2" s="1"/>
  <c r="AS9" i="2"/>
  <c r="AR9" i="2"/>
  <c r="AS10" i="2" s="1"/>
  <c r="AG175" i="1" l="1"/>
  <c r="AJ173" i="1"/>
  <c r="AF195" i="1"/>
  <c r="AF196" i="1"/>
  <c r="AJ174" i="1"/>
  <c r="AJ171" i="1"/>
  <c r="AK171" i="1" s="1"/>
  <c r="AH197" i="1"/>
  <c r="Z42" i="2"/>
  <c r="AC42" i="2" s="1"/>
  <c r="Y38" i="2"/>
  <c r="AC38" i="2" s="1"/>
  <c r="Z39" i="2"/>
  <c r="AB40" i="2" s="1"/>
  <c r="AU33" i="2"/>
  <c r="Y41" i="2" s="1"/>
  <c r="AK35" i="2"/>
  <c r="AU29" i="2"/>
  <c r="Y39" i="2" s="1"/>
  <c r="AV29" i="2"/>
  <c r="AU24" i="2"/>
  <c r="AV24" i="2"/>
  <c r="AO25" i="2"/>
  <c r="AV23" i="2"/>
  <c r="AJ172" i="1"/>
  <c r="AK172" i="1" s="1"/>
  <c r="AJ170" i="1"/>
  <c r="AS20" i="2"/>
  <c r="AB43" i="2" l="1"/>
  <c r="AK174" i="1"/>
  <c r="AJ196" i="1"/>
  <c r="AJ195" i="1"/>
  <c r="I190" i="1" s="1"/>
  <c r="AK173" i="1"/>
  <c r="AA40" i="2"/>
  <c r="AD40" i="2" s="1"/>
  <c r="AC39" i="2"/>
  <c r="AA43" i="2"/>
  <c r="AC41" i="2"/>
  <c r="AA170" i="1"/>
  <c r="D17" i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H16" i="1" l="1"/>
  <c r="AA191" i="1"/>
  <c r="AD43" i="2"/>
  <c r="AH170" i="1"/>
  <c r="AB170" i="1"/>
  <c r="G16" i="1" s="1"/>
  <c r="AQ19" i="2"/>
  <c r="AP19" i="2"/>
  <c r="AO19" i="2"/>
  <c r="AN19" i="2"/>
  <c r="AK19" i="2"/>
  <c r="AJ19" i="2"/>
  <c r="I169" i="1"/>
  <c r="J116" i="1"/>
  <c r="I16" i="1" l="1"/>
  <c r="AR172" i="1"/>
  <c r="AR174" i="1"/>
  <c r="AR178" i="1"/>
  <c r="AR182" i="1"/>
  <c r="AR186" i="1"/>
  <c r="AR190" i="1"/>
  <c r="AR170" i="1"/>
  <c r="AS170" i="1" s="1"/>
  <c r="AR175" i="1"/>
  <c r="AR179" i="1"/>
  <c r="AR183" i="1"/>
  <c r="AR187" i="1"/>
  <c r="AR191" i="1"/>
  <c r="AR173" i="1"/>
  <c r="AR180" i="1"/>
  <c r="AR184" i="1"/>
  <c r="AR188" i="1"/>
  <c r="AR171" i="1"/>
  <c r="AR181" i="1"/>
  <c r="AR185" i="1"/>
  <c r="AR189" i="1"/>
  <c r="AR177" i="1"/>
  <c r="AR176" i="1"/>
  <c r="AL170" i="1"/>
  <c r="AM170" i="1" s="1"/>
  <c r="AH171" i="1"/>
  <c r="AV19" i="2"/>
  <c r="AV18" i="2"/>
  <c r="Z32" i="2" s="1"/>
  <c r="AU19" i="2"/>
  <c r="AU18" i="2"/>
  <c r="AQ20" i="2"/>
  <c r="AO20" i="2"/>
  <c r="AK20" i="2"/>
  <c r="G169" i="1"/>
  <c r="AM169" i="1"/>
  <c r="AI170" i="1"/>
  <c r="AI169" i="1"/>
  <c r="AQ14" i="2"/>
  <c r="AP14" i="2"/>
  <c r="AO14" i="2"/>
  <c r="AN14" i="2"/>
  <c r="AK14" i="2"/>
  <c r="AJ14" i="2"/>
  <c r="AK9" i="2"/>
  <c r="AJ9" i="2"/>
  <c r="AQ9" i="2"/>
  <c r="AP9" i="2"/>
  <c r="AS171" i="1" l="1"/>
  <c r="AS172" i="1" s="1"/>
  <c r="AS173" i="1" s="1"/>
  <c r="AS174" i="1" s="1"/>
  <c r="AS175" i="1" s="1"/>
  <c r="AS176" i="1" s="1"/>
  <c r="AS177" i="1" s="1"/>
  <c r="AS178" i="1" s="1"/>
  <c r="AS179" i="1" s="1"/>
  <c r="AS180" i="1" s="1"/>
  <c r="AS181" i="1" s="1"/>
  <c r="AS182" i="1" s="1"/>
  <c r="AS183" i="1" s="1"/>
  <c r="AS184" i="1" s="1"/>
  <c r="AS185" i="1" s="1"/>
  <c r="AS186" i="1" s="1"/>
  <c r="AS187" i="1" s="1"/>
  <c r="AS188" i="1" s="1"/>
  <c r="AS189" i="1" s="1"/>
  <c r="AS190" i="1" s="1"/>
  <c r="AH172" i="1"/>
  <c r="AL171" i="1"/>
  <c r="AF194" i="1"/>
  <c r="Y32" i="2"/>
  <c r="AC32" i="2" s="1"/>
  <c r="AJ194" i="1"/>
  <c r="Y33" i="2"/>
  <c r="Z33" i="2"/>
  <c r="AB34" i="2" s="1"/>
  <c r="AU14" i="2"/>
  <c r="Y30" i="2" s="1"/>
  <c r="AU13" i="2"/>
  <c r="Y29" i="2" s="1"/>
  <c r="AV14" i="2"/>
  <c r="Z30" i="2" s="1"/>
  <c r="AV13" i="2"/>
  <c r="Z29" i="2" s="1"/>
  <c r="AB31" i="2" s="1"/>
  <c r="AK10" i="2"/>
  <c r="BJ197" i="1"/>
  <c r="BJ198" i="1" s="1"/>
  <c r="BJ199" i="1" s="1"/>
  <c r="BJ200" i="1" s="1"/>
  <c r="BJ201" i="1" s="1"/>
  <c r="BJ202" i="1" s="1"/>
  <c r="BJ203" i="1" s="1"/>
  <c r="BJ204" i="1" s="1"/>
  <c r="BJ205" i="1" s="1"/>
  <c r="BJ206" i="1" s="1"/>
  <c r="BJ207" i="1" s="1"/>
  <c r="BJ208" i="1" s="1"/>
  <c r="BJ209" i="1" s="1"/>
  <c r="BJ210" i="1" s="1"/>
  <c r="BJ211" i="1" s="1"/>
  <c r="I172" i="1"/>
  <c r="AY197" i="1"/>
  <c r="AY198" i="1" s="1"/>
  <c r="AY199" i="1" s="1"/>
  <c r="AY200" i="1" s="1"/>
  <c r="AY201" i="1" s="1"/>
  <c r="AY202" i="1" s="1"/>
  <c r="AY203" i="1" s="1"/>
  <c r="AY204" i="1" s="1"/>
  <c r="AY205" i="1" s="1"/>
  <c r="AY206" i="1" s="1"/>
  <c r="AY207" i="1" s="1"/>
  <c r="AY208" i="1" s="1"/>
  <c r="AY209" i="1" s="1"/>
  <c r="AY210" i="1" s="1"/>
  <c r="AY211" i="1" s="1"/>
  <c r="BH197" i="1"/>
  <c r="BH198" i="1" s="1"/>
  <c r="BH199" i="1" s="1"/>
  <c r="BH200" i="1" s="1"/>
  <c r="BH201" i="1" s="1"/>
  <c r="BH202" i="1" s="1"/>
  <c r="BH203" i="1" s="1"/>
  <c r="BH204" i="1" s="1"/>
  <c r="BH205" i="1" s="1"/>
  <c r="BH206" i="1" s="1"/>
  <c r="BH207" i="1" s="1"/>
  <c r="BH208" i="1" s="1"/>
  <c r="BH209" i="1" s="1"/>
  <c r="BH210" i="1" s="1"/>
  <c r="BH211" i="1" s="1"/>
  <c r="BE197" i="1"/>
  <c r="BE198" i="1" s="1"/>
  <c r="BE199" i="1" s="1"/>
  <c r="BE200" i="1" s="1"/>
  <c r="BE201" i="1" s="1"/>
  <c r="BE202" i="1" s="1"/>
  <c r="BE203" i="1" s="1"/>
  <c r="BE204" i="1" s="1"/>
  <c r="BE205" i="1" s="1"/>
  <c r="BE206" i="1" s="1"/>
  <c r="BE207" i="1" s="1"/>
  <c r="BE208" i="1" s="1"/>
  <c r="BE209" i="1" s="1"/>
  <c r="BE210" i="1" s="1"/>
  <c r="BE211" i="1" s="1"/>
  <c r="BC197" i="1"/>
  <c r="BC198" i="1" s="1"/>
  <c r="BC199" i="1" s="1"/>
  <c r="BC200" i="1" s="1"/>
  <c r="BC201" i="1" s="1"/>
  <c r="BC202" i="1" s="1"/>
  <c r="BC203" i="1" s="1"/>
  <c r="BC204" i="1" s="1"/>
  <c r="BC205" i="1" s="1"/>
  <c r="BC206" i="1" s="1"/>
  <c r="BC207" i="1" s="1"/>
  <c r="BC208" i="1" s="1"/>
  <c r="BC209" i="1" s="1"/>
  <c r="BC210" i="1" s="1"/>
  <c r="BC211" i="1" s="1"/>
  <c r="BA197" i="1"/>
  <c r="BA198" i="1" s="1"/>
  <c r="BA199" i="1" s="1"/>
  <c r="BA200" i="1" s="1"/>
  <c r="BA201" i="1" s="1"/>
  <c r="BA202" i="1" s="1"/>
  <c r="BA203" i="1" s="1"/>
  <c r="BA204" i="1" s="1"/>
  <c r="BA205" i="1" s="1"/>
  <c r="BA206" i="1" s="1"/>
  <c r="BA207" i="1" s="1"/>
  <c r="BA208" i="1" s="1"/>
  <c r="BA209" i="1" s="1"/>
  <c r="BA210" i="1" s="1"/>
  <c r="BA211" i="1" s="1"/>
  <c r="AC33" i="2" l="1"/>
  <c r="AH173" i="1"/>
  <c r="AL172" i="1"/>
  <c r="AA34" i="2"/>
  <c r="AD34" i="2" s="1"/>
  <c r="AA31" i="2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68" i="1"/>
  <c r="G170" i="1"/>
  <c r="L24" i="2"/>
  <c r="K24" i="2"/>
  <c r="N24" i="2"/>
  <c r="M24" i="2"/>
  <c r="AI173" i="1" l="1"/>
  <c r="AH174" i="1"/>
  <c r="AL173" i="1"/>
  <c r="AI174" i="1" l="1"/>
  <c r="AH175" i="1"/>
  <c r="AL174" i="1"/>
  <c r="B6" i="1"/>
  <c r="B5" i="1"/>
  <c r="AI175" i="1" l="1"/>
  <c r="AL175" i="1"/>
  <c r="Q97" i="1"/>
  <c r="Q102" i="1"/>
  <c r="BD164" i="1"/>
  <c r="BE156" i="1" s="1"/>
  <c r="BE169" i="1"/>
  <c r="BH168" i="1"/>
  <c r="BH169" i="1" s="1"/>
  <c r="BH170" i="1" s="1"/>
  <c r="BH171" i="1" s="1"/>
  <c r="BH172" i="1" s="1"/>
  <c r="BH173" i="1" s="1"/>
  <c r="BH174" i="1" s="1"/>
  <c r="BH175" i="1" s="1"/>
  <c r="BH176" i="1" s="1"/>
  <c r="BH177" i="1" s="1"/>
  <c r="BH178" i="1" s="1"/>
  <c r="BH179" i="1" s="1"/>
  <c r="BH180" i="1" s="1"/>
  <c r="BH181" i="1" s="1"/>
  <c r="BH182" i="1" s="1"/>
  <c r="BH183" i="1" s="1"/>
  <c r="BH184" i="1" s="1"/>
  <c r="BH185" i="1" s="1"/>
  <c r="BH186" i="1" s="1"/>
  <c r="BH187" i="1" s="1"/>
  <c r="BH188" i="1" s="1"/>
  <c r="BH189" i="1" s="1"/>
  <c r="BH190" i="1" s="1"/>
  <c r="AO9" i="2"/>
  <c r="AN9" i="2"/>
  <c r="AM9" i="2"/>
  <c r="AL9" i="2"/>
  <c r="AH24" i="2"/>
  <c r="AG24" i="2"/>
  <c r="AE24" i="2"/>
  <c r="AD24" i="2"/>
  <c r="AC24" i="2"/>
  <c r="AB24" i="2"/>
  <c r="AA24" i="2"/>
  <c r="J24" i="2"/>
  <c r="I24" i="2"/>
  <c r="H24" i="2"/>
  <c r="H18" i="2" s="1"/>
  <c r="G24" i="2"/>
  <c r="G18" i="2" s="1"/>
  <c r="F24" i="2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E24" i="2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AF23" i="2"/>
  <c r="AB23" i="2"/>
  <c r="AA23" i="2"/>
  <c r="AF22" i="2"/>
  <c r="AB22" i="2"/>
  <c r="AA22" i="2"/>
  <c r="AF21" i="2"/>
  <c r="AB21" i="2"/>
  <c r="AA21" i="2"/>
  <c r="AF20" i="2"/>
  <c r="AB20" i="2"/>
  <c r="AA20" i="2"/>
  <c r="AF19" i="2"/>
  <c r="AB19" i="2"/>
  <c r="AA19" i="2"/>
  <c r="AE19" i="2"/>
  <c r="H19" i="2"/>
  <c r="G19" i="2"/>
  <c r="AF18" i="2"/>
  <c r="AE18" i="2"/>
  <c r="AB18" i="2"/>
  <c r="AA18" i="2"/>
  <c r="AE17" i="2"/>
  <c r="AB17" i="2"/>
  <c r="AA17" i="2"/>
  <c r="AF16" i="2"/>
  <c r="AE16" i="2"/>
  <c r="AB16" i="2"/>
  <c r="AA16" i="2"/>
  <c r="AE15" i="2"/>
  <c r="AB15" i="2"/>
  <c r="AA15" i="2"/>
  <c r="P15" i="2"/>
  <c r="P16" i="2" s="1"/>
  <c r="P17" i="2" s="1"/>
  <c r="P18" i="2" s="1"/>
  <c r="P19" i="2" s="1"/>
  <c r="P20" i="2" s="1"/>
  <c r="P21" i="2" s="1"/>
  <c r="P22" i="2" s="1"/>
  <c r="P23" i="2" s="1"/>
  <c r="O15" i="2"/>
  <c r="O16" i="2" s="1"/>
  <c r="O17" i="2" s="1"/>
  <c r="O18" i="2" s="1"/>
  <c r="O19" i="2" s="1"/>
  <c r="O20" i="2" s="1"/>
  <c r="O21" i="2" s="1"/>
  <c r="O22" i="2" s="1"/>
  <c r="O23" i="2" s="1"/>
  <c r="AF14" i="2"/>
  <c r="AE14" i="2"/>
  <c r="AD14" i="2"/>
  <c r="AC14" i="2"/>
  <c r="AB14" i="2"/>
  <c r="AA14" i="2"/>
  <c r="AE13" i="2"/>
  <c r="AB13" i="2"/>
  <c r="AA13" i="2"/>
  <c r="AF12" i="2"/>
  <c r="AE12" i="2"/>
  <c r="AB12" i="2"/>
  <c r="AA12" i="2"/>
  <c r="AE11" i="2"/>
  <c r="AB11" i="2"/>
  <c r="AA11" i="2"/>
  <c r="AF10" i="2"/>
  <c r="AE10" i="2"/>
  <c r="AB10" i="2"/>
  <c r="AA10" i="2"/>
  <c r="AE9" i="2"/>
  <c r="AB9" i="2"/>
  <c r="AA9" i="2"/>
  <c r="AF8" i="2"/>
  <c r="AE8" i="2"/>
  <c r="AB8" i="2"/>
  <c r="AA8" i="2"/>
  <c r="AE7" i="2"/>
  <c r="AB7" i="2"/>
  <c r="AA7" i="2"/>
  <c r="T7" i="2"/>
  <c r="T8" i="2" s="1"/>
  <c r="T9" i="2" s="1"/>
  <c r="T10" i="2" s="1"/>
  <c r="T11" i="2" s="1"/>
  <c r="T12" i="2" s="1"/>
  <c r="S7" i="2"/>
  <c r="AH6" i="2"/>
  <c r="AG6" i="2"/>
  <c r="AE6" i="2"/>
  <c r="AB6" i="2"/>
  <c r="AA6" i="2"/>
  <c r="AE5" i="2"/>
  <c r="AB5" i="2"/>
  <c r="AA5" i="2"/>
  <c r="P5" i="2"/>
  <c r="P6" i="2" s="1"/>
  <c r="P7" i="2" s="1"/>
  <c r="P8" i="2" s="1"/>
  <c r="P9" i="2" s="1"/>
  <c r="P10" i="2" s="1"/>
  <c r="P11" i="2" s="1"/>
  <c r="P12" i="2" s="1"/>
  <c r="P13" i="2" s="1"/>
  <c r="O5" i="2"/>
  <c r="O6" i="2" s="1"/>
  <c r="O7" i="2" s="1"/>
  <c r="O8" i="2" s="1"/>
  <c r="O9" i="2" s="1"/>
  <c r="O10" i="2" s="1"/>
  <c r="O11" i="2" s="1"/>
  <c r="O12" i="2" s="1"/>
  <c r="O13" i="2" s="1"/>
  <c r="AF4" i="2"/>
  <c r="AE4" i="2"/>
  <c r="AD4" i="2"/>
  <c r="AC4" i="2"/>
  <c r="AB4" i="2"/>
  <c r="AA4" i="2"/>
  <c r="T4" i="2"/>
  <c r="T5" i="2" s="1"/>
  <c r="S4" i="2"/>
  <c r="S5" i="2" s="1"/>
  <c r="AO15" i="2" s="1"/>
  <c r="AH3" i="2"/>
  <c r="AG3" i="2"/>
  <c r="AF3" i="2"/>
  <c r="AE3" i="2"/>
  <c r="AD3" i="2"/>
  <c r="AC3" i="2"/>
  <c r="AB3" i="2"/>
  <c r="AA3" i="2"/>
  <c r="BJ190" i="1"/>
  <c r="BJ189" i="1"/>
  <c r="BJ188" i="1"/>
  <c r="BJ187" i="1"/>
  <c r="BJ186" i="1"/>
  <c r="BJ185" i="1"/>
  <c r="BJ184" i="1"/>
  <c r="BJ183" i="1"/>
  <c r="BJ182" i="1"/>
  <c r="BJ181" i="1"/>
  <c r="BJ180" i="1"/>
  <c r="BJ179" i="1"/>
  <c r="BJ178" i="1"/>
  <c r="BJ177" i="1"/>
  <c r="BJ176" i="1"/>
  <c r="BJ175" i="1"/>
  <c r="BJ174" i="1"/>
  <c r="BJ173" i="1"/>
  <c r="BJ172" i="1"/>
  <c r="BJ171" i="1"/>
  <c r="BJ170" i="1"/>
  <c r="BE186" i="1"/>
  <c r="BL191" i="1"/>
  <c r="BL181" i="1"/>
  <c r="BL171" i="1"/>
  <c r="BI191" i="1"/>
  <c r="BG191" i="1"/>
  <c r="AC169" i="1"/>
  <c r="V169" i="1"/>
  <c r="S169" i="1"/>
  <c r="BE157" i="1" l="1"/>
  <c r="BE153" i="1"/>
  <c r="AU9" i="2"/>
  <c r="AU8" i="2"/>
  <c r="AV9" i="2"/>
  <c r="AL192" i="1" s="1"/>
  <c r="AV8" i="2"/>
  <c r="K8" i="2"/>
  <c r="K12" i="2"/>
  <c r="K16" i="2"/>
  <c r="K20" i="2"/>
  <c r="K4" i="2"/>
  <c r="K15" i="2"/>
  <c r="K23" i="2"/>
  <c r="K5" i="2"/>
  <c r="K9" i="2"/>
  <c r="K13" i="2"/>
  <c r="K17" i="2"/>
  <c r="K21" i="2"/>
  <c r="K11" i="2"/>
  <c r="K6" i="2"/>
  <c r="K10" i="2"/>
  <c r="K14" i="2"/>
  <c r="K18" i="2"/>
  <c r="K22" i="2"/>
  <c r="K7" i="2"/>
  <c r="K19" i="2"/>
  <c r="AG169" i="1"/>
  <c r="AK169" i="1"/>
  <c r="H15" i="2"/>
  <c r="J162" i="1"/>
  <c r="BE155" i="1"/>
  <c r="AD169" i="1"/>
  <c r="BE162" i="1"/>
  <c r="BE158" i="1"/>
  <c r="BE151" i="1"/>
  <c r="BE161" i="1"/>
  <c r="BE164" i="1"/>
  <c r="BE160" i="1"/>
  <c r="BE154" i="1"/>
  <c r="BE163" i="1"/>
  <c r="BE159" i="1"/>
  <c r="BE152" i="1"/>
  <c r="F4" i="2"/>
  <c r="F5" i="2" s="1"/>
  <c r="F6" i="2" s="1"/>
  <c r="F7" i="2" s="1"/>
  <c r="F8" i="2" s="1"/>
  <c r="F9" i="2" s="1"/>
  <c r="F10" i="2" s="1"/>
  <c r="F11" i="2" s="1"/>
  <c r="F12" i="2" s="1"/>
  <c r="F13" i="2" s="1"/>
  <c r="I5" i="2"/>
  <c r="J4" i="2"/>
  <c r="E4" i="2"/>
  <c r="E5" i="2" s="1"/>
  <c r="E6" i="2" s="1"/>
  <c r="E7" i="2" s="1"/>
  <c r="E8" i="2" s="1"/>
  <c r="E9" i="2" s="1"/>
  <c r="E10" i="2" s="1"/>
  <c r="E11" i="2" s="1"/>
  <c r="E12" i="2" s="1"/>
  <c r="E13" i="2" s="1"/>
  <c r="I4" i="2"/>
  <c r="I6" i="2"/>
  <c r="I7" i="2"/>
  <c r="H7" i="2"/>
  <c r="H9" i="2"/>
  <c r="H20" i="2"/>
  <c r="H21" i="2"/>
  <c r="H22" i="2"/>
  <c r="H23" i="2"/>
  <c r="H5" i="2"/>
  <c r="H11" i="2"/>
  <c r="H13" i="2"/>
  <c r="H17" i="2"/>
  <c r="AM10" i="2"/>
  <c r="J6" i="2"/>
  <c r="G5" i="2"/>
  <c r="G8" i="2"/>
  <c r="G16" i="2"/>
  <c r="G4" i="2"/>
  <c r="G11" i="2"/>
  <c r="G15" i="2"/>
  <c r="G17" i="2"/>
  <c r="G6" i="2"/>
  <c r="G9" i="2"/>
  <c r="G12" i="2"/>
  <c r="G14" i="2"/>
  <c r="AO10" i="2"/>
  <c r="G7" i="2"/>
  <c r="G10" i="2"/>
  <c r="G13" i="2"/>
  <c r="T13" i="2"/>
  <c r="T14" i="2" s="1"/>
  <c r="J12" i="2"/>
  <c r="S8" i="2"/>
  <c r="J10" i="2"/>
  <c r="AE20" i="2"/>
  <c r="G20" i="2"/>
  <c r="AE21" i="2"/>
  <c r="G21" i="2"/>
  <c r="AE22" i="2"/>
  <c r="G22" i="2"/>
  <c r="AE23" i="2"/>
  <c r="G23" i="2"/>
  <c r="J8" i="2"/>
  <c r="AF24" i="2"/>
  <c r="H4" i="2"/>
  <c r="J5" i="2"/>
  <c r="AF5" i="2"/>
  <c r="H6" i="2"/>
  <c r="AF6" i="2"/>
  <c r="J7" i="2"/>
  <c r="AF7" i="2"/>
  <c r="H8" i="2"/>
  <c r="J9" i="2"/>
  <c r="AF9" i="2"/>
  <c r="H10" i="2"/>
  <c r="J11" i="2"/>
  <c r="AF11" i="2"/>
  <c r="H12" i="2"/>
  <c r="J13" i="2"/>
  <c r="AF13" i="2"/>
  <c r="H14" i="2"/>
  <c r="AF15" i="2"/>
  <c r="H16" i="2"/>
  <c r="AF17" i="2"/>
  <c r="AE169" i="1"/>
  <c r="I171" i="1"/>
  <c r="AF193" i="1" l="1"/>
  <c r="AF197" i="1" s="1"/>
  <c r="AJ193" i="1"/>
  <c r="H171" i="1"/>
  <c r="AK15" i="2"/>
  <c r="AE170" i="1"/>
  <c r="I8" i="2"/>
  <c r="S9" i="2"/>
  <c r="T15" i="2"/>
  <c r="J14" i="2"/>
  <c r="S10" i="2" l="1"/>
  <c r="I9" i="2"/>
  <c r="T16" i="2"/>
  <c r="J15" i="2"/>
  <c r="T17" i="2" l="1"/>
  <c r="J16" i="2"/>
  <c r="S11" i="2"/>
  <c r="I10" i="2"/>
  <c r="I11" i="2" l="1"/>
  <c r="S12" i="2"/>
  <c r="T18" i="2"/>
  <c r="J17" i="2"/>
  <c r="T19" i="2" l="1"/>
  <c r="J18" i="2"/>
  <c r="S13" i="2"/>
  <c r="I12" i="2"/>
  <c r="S14" i="2" l="1"/>
  <c r="I13" i="2"/>
  <c r="T20" i="2"/>
  <c r="J19" i="2"/>
  <c r="T21" i="2" l="1"/>
  <c r="J20" i="2"/>
  <c r="S15" i="2"/>
  <c r="I14" i="2"/>
  <c r="S16" i="2" l="1"/>
  <c r="I15" i="2"/>
  <c r="T22" i="2"/>
  <c r="J21" i="2"/>
  <c r="T23" i="2" l="1"/>
  <c r="J23" i="2" s="1"/>
  <c r="J22" i="2"/>
  <c r="S17" i="2"/>
  <c r="I16" i="2"/>
  <c r="S18" i="2" l="1"/>
  <c r="I17" i="2"/>
  <c r="S19" i="2" l="1"/>
  <c r="I18" i="2"/>
  <c r="S20" i="2" l="1"/>
  <c r="I19" i="2"/>
  <c r="S21" i="2" l="1"/>
  <c r="I20" i="2"/>
  <c r="S22" i="2" l="1"/>
  <c r="I21" i="2"/>
  <c r="S23" i="2" l="1"/>
  <c r="I23" i="2" s="1"/>
  <c r="I22" i="2"/>
  <c r="T170" i="1" l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l="1"/>
  <c r="T182" i="1" s="1"/>
  <c r="T183" i="1" s="1"/>
  <c r="T184" i="1" s="1"/>
  <c r="T185" i="1" s="1"/>
  <c r="T186" i="1" s="1"/>
  <c r="T187" i="1" s="1"/>
  <c r="T188" i="1" s="1"/>
  <c r="T189" i="1" s="1"/>
  <c r="T190" i="1" s="1"/>
  <c r="S180" i="1"/>
  <c r="L151" i="1"/>
  <c r="F3" i="1"/>
  <c r="AE190" i="1" s="1"/>
  <c r="K116" i="1"/>
  <c r="C5" i="1" l="1"/>
  <c r="G162" i="1"/>
  <c r="K162" i="1"/>
  <c r="M151" i="1"/>
  <c r="H162" i="1" l="1"/>
  <c r="F162" i="1"/>
  <c r="E162" i="1"/>
  <c r="E159" i="1"/>
  <c r="V190" i="1"/>
  <c r="F190" i="1" s="1"/>
  <c r="S190" i="1"/>
  <c r="V189" i="1"/>
  <c r="F189" i="1" s="1"/>
  <c r="S189" i="1"/>
  <c r="V188" i="1"/>
  <c r="F188" i="1" s="1"/>
  <c r="S188" i="1"/>
  <c r="V187" i="1"/>
  <c r="F187" i="1" s="1"/>
  <c r="S187" i="1"/>
  <c r="V186" i="1"/>
  <c r="F186" i="1" s="1"/>
  <c r="S186" i="1"/>
  <c r="V185" i="1"/>
  <c r="F185" i="1" s="1"/>
  <c r="S185" i="1"/>
  <c r="V184" i="1"/>
  <c r="F184" i="1" s="1"/>
  <c r="S184" i="1"/>
  <c r="V183" i="1"/>
  <c r="F183" i="1" s="1"/>
  <c r="S183" i="1"/>
  <c r="V182" i="1"/>
  <c r="F182" i="1" s="1"/>
  <c r="S182" i="1"/>
  <c r="V181" i="1"/>
  <c r="F181" i="1" s="1"/>
  <c r="S181" i="1"/>
  <c r="V180" i="1"/>
  <c r="F180" i="1" s="1"/>
  <c r="V179" i="1"/>
  <c r="F179" i="1" s="1"/>
  <c r="S179" i="1"/>
  <c r="V178" i="1"/>
  <c r="F178" i="1" s="1"/>
  <c r="S178" i="1"/>
  <c r="V177" i="1"/>
  <c r="F177" i="1" s="1"/>
  <c r="S177" i="1"/>
  <c r="V176" i="1"/>
  <c r="F176" i="1" s="1"/>
  <c r="S176" i="1"/>
  <c r="V175" i="1"/>
  <c r="F175" i="1" s="1"/>
  <c r="S175" i="1"/>
  <c r="V174" i="1"/>
  <c r="F174" i="1" s="1"/>
  <c r="S174" i="1"/>
  <c r="V173" i="1"/>
  <c r="F173" i="1" s="1"/>
  <c r="S173" i="1"/>
  <c r="V172" i="1"/>
  <c r="F172" i="1" s="1"/>
  <c r="S172" i="1"/>
  <c r="V171" i="1"/>
  <c r="F171" i="1" s="1"/>
  <c r="S171" i="1"/>
  <c r="AC170" i="1"/>
  <c r="AG170" i="1"/>
  <c r="I170" i="1"/>
  <c r="V170" i="1"/>
  <c r="F170" i="1" s="1"/>
  <c r="AF168" i="1"/>
  <c r="H169" i="1" s="1"/>
  <c r="V168" i="1"/>
  <c r="S168" i="1"/>
  <c r="H116" i="1"/>
  <c r="G116" i="1"/>
  <c r="F116" i="1"/>
  <c r="I160" i="1" l="1"/>
  <c r="I163" i="1"/>
  <c r="I164" i="1" s="1"/>
  <c r="G163" i="1"/>
  <c r="J160" i="1"/>
  <c r="J163" i="1"/>
  <c r="J164" i="1" s="1"/>
  <c r="AJ192" i="1"/>
  <c r="AJ197" i="1" s="1"/>
  <c r="H170" i="1"/>
  <c r="AK170" i="1"/>
  <c r="W169" i="1"/>
  <c r="AO169" i="1" s="1"/>
  <c r="F169" i="1"/>
  <c r="AD170" i="1"/>
  <c r="W173" i="1"/>
  <c r="W186" i="1"/>
  <c r="W187" i="1"/>
  <c r="W177" i="1"/>
  <c r="W182" i="1"/>
  <c r="W170" i="1"/>
  <c r="X170" i="1" s="1"/>
  <c r="AN170" i="1" s="1"/>
  <c r="W172" i="1"/>
  <c r="W176" i="1"/>
  <c r="W180" i="1"/>
  <c r="W181" i="1"/>
  <c r="W185" i="1"/>
  <c r="W190" i="1"/>
  <c r="W171" i="1"/>
  <c r="W175" i="1"/>
  <c r="W179" i="1"/>
  <c r="W184" i="1"/>
  <c r="W189" i="1"/>
  <c r="W174" i="1"/>
  <c r="W178" i="1"/>
  <c r="W183" i="1"/>
  <c r="W188" i="1"/>
  <c r="K163" i="1"/>
  <c r="K164" i="1" s="1"/>
  <c r="K160" i="1"/>
  <c r="G160" i="1"/>
  <c r="F160" i="1"/>
  <c r="E160" i="1"/>
  <c r="AN169" i="1" l="1"/>
  <c r="AO170" i="1"/>
  <c r="X181" i="1"/>
  <c r="X171" i="1"/>
  <c r="X174" i="1"/>
  <c r="X173" i="1"/>
  <c r="X188" i="1"/>
  <c r="X172" i="1"/>
  <c r="X190" i="1"/>
  <c r="X176" i="1"/>
  <c r="X184" i="1"/>
  <c r="X183" i="1"/>
  <c r="X177" i="1"/>
  <c r="X175" i="1"/>
  <c r="X186" i="1"/>
  <c r="X185" i="1"/>
  <c r="X178" i="1"/>
  <c r="X189" i="1"/>
  <c r="X187" i="1"/>
  <c r="X180" i="1"/>
  <c r="X179" i="1"/>
  <c r="X182" i="1"/>
  <c r="H160" i="1"/>
  <c r="G164" i="1"/>
  <c r="E163" i="1"/>
  <c r="E164" i="1" s="1"/>
  <c r="H163" i="1"/>
  <c r="H164" i="1" s="1"/>
  <c r="F163" i="1"/>
  <c r="F164" i="1" s="1"/>
  <c r="I173" i="1" l="1"/>
  <c r="H190" i="1"/>
  <c r="I174" i="1" l="1"/>
  <c r="H172" i="1"/>
  <c r="I175" i="1" l="1"/>
  <c r="H173" i="1"/>
  <c r="I176" i="1" l="1"/>
  <c r="H174" i="1"/>
  <c r="I177" i="1" l="1"/>
  <c r="H175" i="1"/>
  <c r="I178" i="1" l="1"/>
  <c r="H176" i="1"/>
  <c r="I179" i="1" l="1"/>
  <c r="H177" i="1"/>
  <c r="I180" i="1" l="1"/>
  <c r="H178" i="1"/>
  <c r="I181" i="1" l="1"/>
  <c r="H179" i="1"/>
  <c r="I182" i="1" l="1"/>
  <c r="H180" i="1"/>
  <c r="I183" i="1" l="1"/>
  <c r="H181" i="1"/>
  <c r="I184" i="1" l="1"/>
  <c r="H182" i="1"/>
  <c r="I185" i="1" l="1"/>
  <c r="H183" i="1"/>
  <c r="I186" i="1" l="1"/>
  <c r="H184" i="1"/>
  <c r="I187" i="1" l="1"/>
  <c r="H185" i="1"/>
  <c r="I188" i="1" l="1"/>
  <c r="H186" i="1"/>
  <c r="I189" i="1" l="1"/>
  <c r="H187" i="1"/>
  <c r="H189" i="1" l="1"/>
  <c r="H188" i="1"/>
  <c r="AQ10" i="2" l="1"/>
  <c r="AQ15" i="2"/>
  <c r="L20" i="2" l="1"/>
  <c r="L19" i="2"/>
  <c r="L22" i="2"/>
  <c r="L10" i="2"/>
  <c r="L5" i="2"/>
  <c r="L13" i="2"/>
  <c r="L21" i="2"/>
  <c r="L8" i="2"/>
  <c r="L4" i="2"/>
  <c r="L6" i="2"/>
  <c r="L11" i="2"/>
  <c r="L12" i="2"/>
  <c r="L7" i="2"/>
  <c r="L15" i="2"/>
  <c r="L23" i="2"/>
  <c r="L14" i="2"/>
  <c r="L16" i="2"/>
  <c r="L9" i="2"/>
  <c r="L17" i="2"/>
  <c r="L18" i="2"/>
  <c r="AF164" i="1" l="1"/>
  <c r="N4" i="2" l="1"/>
  <c r="N6" i="2"/>
  <c r="N5" i="2"/>
  <c r="N7" i="2"/>
  <c r="N8" i="2" l="1"/>
  <c r="N9" i="2" l="1"/>
  <c r="N10" i="2" l="1"/>
  <c r="N11" i="2" l="1"/>
  <c r="N12" i="2" l="1"/>
  <c r="N13" i="2" l="1"/>
  <c r="N14" i="2" l="1"/>
  <c r="N15" i="2" l="1"/>
  <c r="N16" i="2" l="1"/>
  <c r="N17" i="2" l="1"/>
  <c r="N18" i="2" l="1"/>
  <c r="N19" i="2" l="1"/>
  <c r="N20" i="2" l="1"/>
  <c r="N21" i="2" l="1"/>
  <c r="N22" i="2" l="1"/>
  <c r="N23" i="2" l="1"/>
  <c r="AV191" i="1" l="1"/>
  <c r="AW197" i="1" l="1"/>
  <c r="AW198" i="1" s="1"/>
  <c r="AW199" i="1" s="1"/>
  <c r="AW200" i="1" s="1"/>
  <c r="AW201" i="1" s="1"/>
  <c r="AW202" i="1" s="1"/>
  <c r="AW203" i="1" s="1"/>
  <c r="AW204" i="1" s="1"/>
  <c r="AW205" i="1" s="1"/>
  <c r="AW206" i="1" s="1"/>
  <c r="AW207" i="1" s="1"/>
  <c r="AW208" i="1" s="1"/>
  <c r="AW209" i="1" s="1"/>
  <c r="AW210" i="1" s="1"/>
  <c r="AW211" i="1" s="1"/>
  <c r="M4" i="2" l="1"/>
  <c r="M6" i="2"/>
  <c r="M5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BL202" i="1" l="1"/>
  <c r="BL206" i="1"/>
  <c r="AT191" i="1"/>
  <c r="BL200" i="1"/>
  <c r="BL198" i="1"/>
  <c r="BL210" i="1"/>
  <c r="BL209" i="1"/>
  <c r="BL201" i="1"/>
  <c r="BL204" i="1"/>
  <c r="BL211" i="1"/>
  <c r="BL199" i="1"/>
  <c r="BL208" i="1"/>
  <c r="BL197" i="1"/>
  <c r="BL207" i="1"/>
  <c r="BL203" i="1"/>
  <c r="BL205" i="1"/>
  <c r="AU197" i="1" l="1"/>
  <c r="AU198" i="1" s="1"/>
  <c r="AU199" i="1" s="1"/>
  <c r="AU200" i="1" s="1"/>
  <c r="AU201" i="1" s="1"/>
  <c r="AU202" i="1" s="1"/>
  <c r="AU203" i="1" s="1"/>
  <c r="AU204" i="1" s="1"/>
  <c r="AU205" i="1" s="1"/>
  <c r="AU206" i="1" s="1"/>
  <c r="AU207" i="1" s="1"/>
  <c r="AU208" i="1" s="1"/>
  <c r="AU209" i="1" s="1"/>
  <c r="AU210" i="1" s="1"/>
  <c r="AU211" i="1" s="1"/>
  <c r="K3" i="1"/>
  <c r="AL193" i="1" l="1"/>
  <c r="AB171" i="1"/>
  <c r="AD171" i="1" l="1"/>
  <c r="G18" i="1"/>
  <c r="G171" i="1"/>
  <c r="AM171" i="1"/>
  <c r="AI171" i="1"/>
  <c r="AN171" i="1"/>
  <c r="AE171" i="1"/>
  <c r="AC171" i="1"/>
  <c r="AO171" i="1"/>
  <c r="G172" i="1" l="1"/>
  <c r="AB172" i="1"/>
  <c r="G23" i="1" s="1"/>
  <c r="AO172" i="1"/>
  <c r="AC172" i="1"/>
  <c r="Y164" i="1"/>
  <c r="AL194" i="1"/>
  <c r="AL197" i="1" s="1"/>
  <c r="AM172" i="1"/>
  <c r="AI172" i="1"/>
  <c r="Z7" i="2"/>
  <c r="Z35" i="2" l="1"/>
  <c r="Z36" i="2"/>
  <c r="Z195" i="1"/>
  <c r="AN172" i="1"/>
  <c r="AD172" i="1"/>
  <c r="AE172" i="1"/>
  <c r="Y7" i="2" s="1"/>
  <c r="AM173" i="1"/>
  <c r="AB37" i="2" l="1"/>
  <c r="Y36" i="2"/>
  <c r="AC36" i="2" s="1"/>
  <c r="Y35" i="2"/>
  <c r="AC35" i="2" s="1"/>
  <c r="BD168" i="1"/>
  <c r="BE176" i="1" s="1"/>
  <c r="AM190" i="1"/>
  <c r="AB173" i="1"/>
  <c r="AC173" i="1"/>
  <c r="AO173" i="1"/>
  <c r="G173" i="1"/>
  <c r="AM174" i="1"/>
  <c r="G25" i="1" l="1"/>
  <c r="BE177" i="1"/>
  <c r="BE170" i="1"/>
  <c r="BE180" i="1"/>
  <c r="BE174" i="1"/>
  <c r="AA37" i="2"/>
  <c r="AD37" i="2" s="1"/>
  <c r="BE187" i="1"/>
  <c r="BE188" i="1"/>
  <c r="BE171" i="1"/>
  <c r="BD191" i="1"/>
  <c r="BE182" i="1"/>
  <c r="BE175" i="1"/>
  <c r="BE173" i="1"/>
  <c r="BE183" i="1"/>
  <c r="BE181" i="1"/>
  <c r="BE185" i="1"/>
  <c r="BE189" i="1"/>
  <c r="BE178" i="1"/>
  <c r="BE179" i="1"/>
  <c r="BE172" i="1"/>
  <c r="BE184" i="1"/>
  <c r="BE190" i="1"/>
  <c r="AM175" i="1"/>
  <c r="AN173" i="1"/>
  <c r="AD173" i="1"/>
  <c r="AE173" i="1"/>
  <c r="G174" i="1" l="1"/>
  <c r="AB174" i="1"/>
  <c r="AC174" i="1"/>
  <c r="AO174" i="1"/>
  <c r="G33" i="1" l="1"/>
  <c r="AD174" i="1"/>
  <c r="AN174" i="1"/>
  <c r="AE174" i="1"/>
  <c r="G175" i="1" l="1"/>
  <c r="AC175" i="1"/>
  <c r="AO175" i="1"/>
  <c r="AB175" i="1"/>
  <c r="G31" i="1" l="1"/>
  <c r="AD175" i="1"/>
  <c r="AN175" i="1"/>
  <c r="AE175" i="1"/>
  <c r="AM176" i="1" l="1"/>
  <c r="AI177" i="1" l="1"/>
  <c r="AI176" i="1"/>
  <c r="Z10" i="2"/>
  <c r="AK176" i="1"/>
  <c r="Z45" i="2" l="1"/>
  <c r="Z44" i="2"/>
  <c r="AG176" i="1"/>
  <c r="G176" i="1"/>
  <c r="AC176" i="1"/>
  <c r="AO176" i="1"/>
  <c r="AB176" i="1"/>
  <c r="Y10" i="2"/>
  <c r="Z11" i="2"/>
  <c r="AM177" i="1"/>
  <c r="AI178" i="1"/>
  <c r="G19" i="1" l="1"/>
  <c r="AB46" i="2"/>
  <c r="Y44" i="2"/>
  <c r="AC44" i="2" s="1"/>
  <c r="Y45" i="2"/>
  <c r="Z12" i="2"/>
  <c r="AI179" i="1"/>
  <c r="AM178" i="1"/>
  <c r="AE176" i="1"/>
  <c r="AK177" i="1" s="1"/>
  <c r="AD176" i="1"/>
  <c r="AN176" i="1"/>
  <c r="AA46" i="2" l="1"/>
  <c r="AD46" i="2" s="1"/>
  <c r="AC45" i="2"/>
  <c r="AG177" i="1"/>
  <c r="AM179" i="1"/>
  <c r="Z13" i="2"/>
  <c r="AI180" i="1"/>
  <c r="AC177" i="1"/>
  <c r="G177" i="1"/>
  <c r="AO177" i="1"/>
  <c r="AB177" i="1"/>
  <c r="Y11" i="2"/>
  <c r="G24" i="1" l="1"/>
  <c r="AE177" i="1"/>
  <c r="AN177" i="1"/>
  <c r="AD177" i="1"/>
  <c r="AI181" i="1"/>
  <c r="AM180" i="1"/>
  <c r="Z14" i="2"/>
  <c r="AK178" i="1" l="1"/>
  <c r="AG178" i="1"/>
  <c r="AI182" i="1"/>
  <c r="Z15" i="2"/>
  <c r="AM181" i="1"/>
  <c r="G178" i="1"/>
  <c r="AC178" i="1"/>
  <c r="AB178" i="1"/>
  <c r="AO178" i="1"/>
  <c r="Y12" i="2"/>
  <c r="AE178" i="1" l="1"/>
  <c r="G30" i="1"/>
  <c r="AD178" i="1"/>
  <c r="AN178" i="1"/>
  <c r="Z16" i="2"/>
  <c r="AI183" i="1"/>
  <c r="AM182" i="1"/>
  <c r="AK179" i="1" l="1"/>
  <c r="AG179" i="1"/>
  <c r="Z17" i="2"/>
  <c r="AM183" i="1"/>
  <c r="AI184" i="1"/>
  <c r="G179" i="1"/>
  <c r="AC179" i="1"/>
  <c r="AB179" i="1"/>
  <c r="AO179" i="1"/>
  <c r="Y13" i="2"/>
  <c r="AE179" i="1" l="1"/>
  <c r="G29" i="1"/>
  <c r="AI185" i="1"/>
  <c r="Z18" i="2"/>
  <c r="AM184" i="1"/>
  <c r="AN179" i="1"/>
  <c r="AD179" i="1"/>
  <c r="AK180" i="1" l="1"/>
  <c r="AG180" i="1"/>
  <c r="AO180" i="1"/>
  <c r="G180" i="1"/>
  <c r="Y14" i="2"/>
  <c r="AB180" i="1"/>
  <c r="AC180" i="1"/>
  <c r="AM185" i="1"/>
  <c r="AI186" i="1"/>
  <c r="Z19" i="2"/>
  <c r="AE180" i="1" l="1"/>
  <c r="G35" i="1"/>
  <c r="Z20" i="2"/>
  <c r="AM186" i="1"/>
  <c r="AD180" i="1"/>
  <c r="AN180" i="1"/>
  <c r="AI187" i="1" l="1"/>
  <c r="AH209" i="1"/>
  <c r="AH210" i="1" s="1"/>
  <c r="AK181" i="1"/>
  <c r="AG181" i="1"/>
  <c r="Y15" i="2"/>
  <c r="G181" i="1"/>
  <c r="AO181" i="1"/>
  <c r="AC181" i="1"/>
  <c r="AB181" i="1"/>
  <c r="AM187" i="1"/>
  <c r="Z21" i="2"/>
  <c r="AI188" i="1"/>
  <c r="AE181" i="1" l="1"/>
  <c r="G34" i="1"/>
  <c r="AI189" i="1"/>
  <c r="Z22" i="2"/>
  <c r="AM188" i="1"/>
  <c r="AN181" i="1"/>
  <c r="AD181" i="1"/>
  <c r="AK182" i="1" l="1"/>
  <c r="AG182" i="1"/>
  <c r="G182" i="1"/>
  <c r="AC182" i="1"/>
  <c r="AB182" i="1"/>
  <c r="AO182" i="1"/>
  <c r="Y16" i="2"/>
  <c r="Z23" i="2"/>
  <c r="Z190" i="1"/>
  <c r="AM189" i="1"/>
  <c r="AE182" i="1" l="1"/>
  <c r="G36" i="1"/>
  <c r="Z24" i="2"/>
  <c r="AI190" i="1"/>
  <c r="AN182" i="1"/>
  <c r="AD182" i="1"/>
  <c r="AK183" i="1" l="1"/>
  <c r="AG183" i="1"/>
  <c r="AO183" i="1"/>
  <c r="AB183" i="1"/>
  <c r="G183" i="1"/>
  <c r="Y17" i="2"/>
  <c r="AC183" i="1"/>
  <c r="AE183" i="1" l="1"/>
  <c r="G32" i="1"/>
  <c r="I32" i="1" s="1"/>
  <c r="AD183" i="1"/>
  <c r="AN183" i="1"/>
  <c r="AK184" i="1" l="1"/>
  <c r="AG184" i="1"/>
  <c r="Y18" i="2"/>
  <c r="AC184" i="1"/>
  <c r="G184" i="1"/>
  <c r="AO184" i="1"/>
  <c r="AB184" i="1"/>
  <c r="AE184" i="1" l="1"/>
  <c r="G20" i="1"/>
  <c r="AD184" i="1"/>
  <c r="AN184" i="1"/>
  <c r="AK185" i="1" l="1"/>
  <c r="I20" i="1"/>
  <c r="AG185" i="1"/>
  <c r="Y19" i="2"/>
  <c r="AO185" i="1"/>
  <c r="AB185" i="1"/>
  <c r="G185" i="1"/>
  <c r="AC185" i="1"/>
  <c r="AE185" i="1" l="1"/>
  <c r="G27" i="1"/>
  <c r="AD185" i="1"/>
  <c r="AN185" i="1"/>
  <c r="AK186" i="1" l="1"/>
  <c r="I27" i="1"/>
  <c r="AG186" i="1"/>
  <c r="AC186" i="1"/>
  <c r="AO186" i="1"/>
  <c r="AB186" i="1"/>
  <c r="Y20" i="2"/>
  <c r="G186" i="1"/>
  <c r="AE186" i="1" l="1"/>
  <c r="G26" i="1"/>
  <c r="AD186" i="1"/>
  <c r="AN186" i="1"/>
  <c r="I34" i="1" l="1"/>
  <c r="I35" i="1"/>
  <c r="AK187" i="1"/>
  <c r="I29" i="1"/>
  <c r="I26" i="1"/>
  <c r="AG187" i="1"/>
  <c r="AC187" i="1"/>
  <c r="G187" i="1"/>
  <c r="Y21" i="2"/>
  <c r="AO187" i="1"/>
  <c r="AB187" i="1"/>
  <c r="AE187" i="1" l="1"/>
  <c r="G28" i="1"/>
  <c r="I36" i="1" s="1"/>
  <c r="AN187" i="1"/>
  <c r="AD187" i="1"/>
  <c r="I24" i="1" l="1"/>
  <c r="AK188" i="1"/>
  <c r="I30" i="1"/>
  <c r="I28" i="1"/>
  <c r="AG188" i="1"/>
  <c r="AO188" i="1"/>
  <c r="Y22" i="2"/>
  <c r="AC188" i="1"/>
  <c r="G188" i="1"/>
  <c r="AB188" i="1"/>
  <c r="AE188" i="1" l="1"/>
  <c r="G21" i="1"/>
  <c r="AD188" i="1"/>
  <c r="AN188" i="1"/>
  <c r="I31" i="1" l="1"/>
  <c r="AK189" i="1"/>
  <c r="I33" i="1"/>
  <c r="I21" i="1"/>
  <c r="AG189" i="1"/>
  <c r="G189" i="1"/>
  <c r="AB189" i="1"/>
  <c r="AE189" i="1" s="1"/>
  <c r="AO189" i="1"/>
  <c r="Y23" i="2"/>
  <c r="AC189" i="1"/>
  <c r="G22" i="1" l="1"/>
  <c r="Y190" i="1"/>
  <c r="AP189" i="1" s="1"/>
  <c r="AN189" i="1"/>
  <c r="AD189" i="1"/>
  <c r="I25" i="1" l="1"/>
  <c r="I19" i="1"/>
  <c r="AK190" i="1"/>
  <c r="AP174" i="1"/>
  <c r="AQ177" i="1"/>
  <c r="AQ173" i="1"/>
  <c r="AP172" i="1"/>
  <c r="AP170" i="1"/>
  <c r="AQ175" i="1"/>
  <c r="AQ174" i="1"/>
  <c r="AP171" i="1"/>
  <c r="AP175" i="1"/>
  <c r="AQ176" i="1"/>
  <c r="AQ172" i="1"/>
  <c r="AQ171" i="1"/>
  <c r="AP173" i="1"/>
  <c r="AQ190" i="1"/>
  <c r="AQ170" i="1"/>
  <c r="AP176" i="1"/>
  <c r="AP177" i="1"/>
  <c r="AQ178" i="1"/>
  <c r="AP178" i="1"/>
  <c r="AQ179" i="1"/>
  <c r="AP179" i="1"/>
  <c r="AQ180" i="1"/>
  <c r="AP180" i="1"/>
  <c r="AQ181" i="1"/>
  <c r="AP181" i="1"/>
  <c r="AQ182" i="1"/>
  <c r="AP182" i="1"/>
  <c r="AQ183" i="1"/>
  <c r="AP183" i="1"/>
  <c r="AQ184" i="1"/>
  <c r="AP184" i="1"/>
  <c r="AQ185" i="1"/>
  <c r="AP185" i="1"/>
  <c r="AQ186" i="1"/>
  <c r="AP186" i="1"/>
  <c r="AQ187" i="1"/>
  <c r="AP187" i="1"/>
  <c r="AQ188" i="1"/>
  <c r="AP188" i="1"/>
  <c r="AQ189" i="1"/>
  <c r="I23" i="1"/>
  <c r="I22" i="1"/>
  <c r="AC190" i="1"/>
  <c r="BB168" i="1"/>
  <c r="BC168" i="1" s="1"/>
  <c r="BC169" i="1" s="1"/>
  <c r="BC170" i="1" s="1"/>
  <c r="BC171" i="1" s="1"/>
  <c r="BC172" i="1" s="1"/>
  <c r="BC173" i="1" s="1"/>
  <c r="BC174" i="1" s="1"/>
  <c r="BC175" i="1" s="1"/>
  <c r="BC176" i="1" s="1"/>
  <c r="BC177" i="1" s="1"/>
  <c r="BC178" i="1" s="1"/>
  <c r="BC179" i="1" s="1"/>
  <c r="BC180" i="1" s="1"/>
  <c r="BC181" i="1" s="1"/>
  <c r="BC182" i="1" s="1"/>
  <c r="BC183" i="1" s="1"/>
  <c r="BC184" i="1" s="1"/>
  <c r="BC185" i="1" s="1"/>
  <c r="BC186" i="1" s="1"/>
  <c r="BC187" i="1" s="1"/>
  <c r="BC188" i="1" s="1"/>
  <c r="BC189" i="1" s="1"/>
  <c r="BC190" i="1" s="1"/>
  <c r="AB190" i="1"/>
  <c r="Y24" i="2"/>
  <c r="G190" i="1"/>
  <c r="L189" i="1" s="1"/>
  <c r="AG190" i="1"/>
  <c r="AO190" i="1"/>
  <c r="AP190" i="1" l="1"/>
  <c r="AN190" i="1"/>
  <c r="G17" i="1"/>
  <c r="AB191" i="1"/>
  <c r="AD190" i="1"/>
  <c r="L188" i="1"/>
  <c r="M189" i="1" s="1"/>
  <c r="L180" i="1"/>
  <c r="L182" i="1"/>
  <c r="L175" i="1"/>
  <c r="L185" i="1"/>
  <c r="L177" i="1"/>
  <c r="L184" i="1"/>
  <c r="L190" i="1"/>
  <c r="M190" i="1" s="1"/>
  <c r="L186" i="1"/>
  <c r="L181" i="1"/>
  <c r="M181" i="1" s="1"/>
  <c r="L176" i="1"/>
  <c r="L171" i="1"/>
  <c r="L174" i="1"/>
  <c r="L178" i="1"/>
  <c r="M178" i="1" s="1"/>
  <c r="L170" i="1"/>
  <c r="L169" i="1"/>
  <c r="BB191" i="1"/>
  <c r="L187" i="1"/>
  <c r="L183" i="1"/>
  <c r="M184" i="1" s="1"/>
  <c r="L179" i="1"/>
  <c r="L173" i="1"/>
  <c r="L172" i="1"/>
  <c r="AD191" i="1" l="1"/>
  <c r="AP191" i="1"/>
  <c r="I17" i="1"/>
  <c r="I18" i="1"/>
  <c r="M171" i="1"/>
  <c r="M188" i="1"/>
  <c r="M180" i="1"/>
  <c r="M182" i="1"/>
  <c r="M187" i="1"/>
  <c r="M185" i="1"/>
  <c r="M174" i="1"/>
  <c r="M175" i="1"/>
  <c r="M176" i="1"/>
  <c r="M170" i="1"/>
  <c r="M186" i="1"/>
  <c r="M172" i="1"/>
  <c r="M177" i="1"/>
  <c r="M179" i="1"/>
  <c r="M183" i="1"/>
  <c r="M17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Gernot</author>
  </authors>
  <commentList>
    <comment ref="N151" authorId="0" shapeId="0" xr:uid="{D87CEE17-76BE-4BB2-A173-0F2FCE110C4B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Nur Punkte für ausgewählte ("x") Produkte) - je nach Paket erhältst du auch mehr CC-Punkte (CP)</t>
        </r>
      </text>
    </comment>
    <comment ref="AE173" authorId="0" shapeId="0" xr:uid="{0E1B5588-89E2-4890-A599-BC79AA876F23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0!</t>
        </r>
      </text>
    </comment>
    <comment ref="AS186" authorId="0" shapeId="0" xr:uid="{65CB6DEA-1C14-46CF-8D5A-E4572D04F87A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AW186" authorId="0" shapeId="0" xr:uid="{36328D59-F7A0-4246-B53E-76B7CFCACFD6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BA186" authorId="0" shapeId="0" xr:uid="{F8D27A19-234A-4AB5-AB19-4B32B0178038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BE186" authorId="0" shapeId="0" xr:uid="{146B68AE-C9F4-46E9-80BD-9B0F0C443FC4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BJ186" authorId="0" shapeId="0" xr:uid="{FE4D53D6-62EA-46C7-B3CE-6C8A0A0B53B1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</commentList>
</comments>
</file>

<file path=xl/sharedStrings.xml><?xml version="1.0" encoding="utf-8"?>
<sst xmlns="http://schemas.openxmlformats.org/spreadsheetml/2006/main" count="1130" uniqueCount="347">
  <si>
    <t>Die grün markierten Produkte hast du bei dem entsprechenden Paket inklusive.</t>
  </si>
  <si>
    <t>Bitte setze hier deine "x"</t>
  </si>
  <si>
    <t>↓</t>
  </si>
  <si>
    <t>Mein Wunschpaket enthält ("x" setzen)</t>
  </si>
  <si>
    <t>Format</t>
  </si>
  <si>
    <t>UVP-Preis
im F-Shop</t>
  </si>
  <si>
    <t>µ</t>
  </si>
  <si>
    <t>-</t>
  </si>
  <si>
    <t>Schätzpreis, Preis nach CF ist unbekannt</t>
  </si>
  <si>
    <t>Deine Kosten</t>
  </si>
  <si>
    <t>/</t>
  </si>
  <si>
    <t>Deine Ersparnis</t>
  </si>
  <si>
    <t>Deine zusätzlichen Produkte</t>
  </si>
  <si>
    <t>x</t>
  </si>
  <si>
    <r>
      <t xml:space="preserve">Diesen 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</t>
    </r>
    <r>
      <rPr>
        <b/>
        <i/>
        <sz val="10"/>
        <color rgb="FFFF0000"/>
        <rFont val="Book Antiqua"/>
        <family val="1"/>
      </rPr>
      <t xml:space="preserve">deines Wunschpakets </t>
    </r>
    <r>
      <rPr>
        <b/>
        <i/>
        <sz val="10"/>
        <color theme="1"/>
        <rFont val="Book Antiqua"/>
        <family val="1"/>
      </rPr>
      <t>(nach dem Crowdfunding) im F-Shop:</t>
    </r>
  </si>
  <si>
    <t>µ
µ</t>
  </si>
  <si>
    <t>Preis als
Zusatz-produkt</t>
  </si>
  <si>
    <t>Die rot markierten Produkte musst du bei dem entsprechenden Paket als Zusatzprodukt im CF hinzubuchen.</t>
  </si>
  <si>
    <t>Kein Paket</t>
  </si>
  <si>
    <t>Donnerstag</t>
  </si>
  <si>
    <t>Hochrechnung (könnte passen, oder auch nicht ;) )</t>
  </si>
  <si>
    <t>Datum</t>
  </si>
  <si>
    <t>Backer</t>
  </si>
  <si>
    <t>€</t>
  </si>
  <si>
    <t>erreichte Ziele</t>
  </si>
  <si>
    <t>nächste Stufe</t>
  </si>
  <si>
    <t>1.</t>
  </si>
  <si>
    <t>2.</t>
  </si>
  <si>
    <t>5.</t>
  </si>
  <si>
    <t>3.</t>
  </si>
  <si>
    <t>7.</t>
  </si>
  <si>
    <t>10.</t>
  </si>
  <si>
    <t>9.</t>
  </si>
  <si>
    <t>UVP-Preis
im F-Shop /ebooks</t>
  </si>
  <si>
    <t>11.</t>
  </si>
  <si>
    <t>(alle Angaben ohne Gewähr!)</t>
  </si>
  <si>
    <t>Anzahl Unterstützer je Dankeschön</t>
  </si>
  <si>
    <t>für deine</t>
  </si>
  <si>
    <t>13.</t>
  </si>
  <si>
    <t>15.</t>
  </si>
  <si>
    <t>Tag</t>
  </si>
  <si>
    <t>Wochentag</t>
  </si>
  <si>
    <t>Timecode</t>
  </si>
  <si>
    <t>Uhrzeit</t>
  </si>
  <si>
    <t>h ges.</t>
  </si>
  <si>
    <t>h Diff.</t>
  </si>
  <si>
    <t>€ ges. Ist</t>
  </si>
  <si>
    <t>Abw.</t>
  </si>
  <si>
    <t>€ Diff.</t>
  </si>
  <si>
    <t>Backer ges.</t>
  </si>
  <si>
    <t>€/Backer</t>
  </si>
  <si>
    <t>€/Tag</t>
  </si>
  <si>
    <t>€/Tag ges.</t>
  </si>
  <si>
    <t>Backer Diff.</t>
  </si>
  <si>
    <t>Schnitt l. 5 Tage</t>
  </si>
  <si>
    <t>€/Backer NEU</t>
  </si>
  <si>
    <t>DSK:Fasar</t>
  </si>
  <si>
    <t>AVENTURIA:Nedime</t>
  </si>
  <si>
    <t>DSA:Werkzeuge</t>
  </si>
  <si>
    <t>DSA:Thorwal</t>
  </si>
  <si>
    <t>%</t>
  </si>
  <si>
    <t>Original</t>
  </si>
  <si>
    <t>Normiert</t>
  </si>
  <si>
    <t>Tag 1 mal X</t>
  </si>
  <si>
    <t>Thorwal norm (€)</t>
  </si>
  <si>
    <t>Thorwal norm (Backer)</t>
  </si>
  <si>
    <t>Werkzeuge norm (€)</t>
  </si>
  <si>
    <t>Werkzeuge norm (Backer)</t>
  </si>
  <si>
    <t>Mythos norm (€)</t>
  </si>
  <si>
    <t>Mythos norm (Backer)</t>
  </si>
  <si>
    <t>Thorwal (€)</t>
  </si>
  <si>
    <t>Thorwal (Backer)</t>
  </si>
  <si>
    <t>Werkzeuge (€)</t>
  </si>
  <si>
    <t>Werkzeuge (Backer)</t>
  </si>
  <si>
    <t>Mythos (€)</t>
  </si>
  <si>
    <t>Mythos (Backer)</t>
  </si>
  <si>
    <t>Aventuria (€) %</t>
  </si>
  <si>
    <t>Aventuria (Backer) %</t>
  </si>
  <si>
    <t>Thorwal (€) %</t>
  </si>
  <si>
    <t>Thorwal (Backer) %</t>
  </si>
  <si>
    <t>Werkzeuge (€) %</t>
  </si>
  <si>
    <t>Werkzeuge (Backer) %</t>
  </si>
  <si>
    <t>Mythos (€) %</t>
  </si>
  <si>
    <t>Mthos (Backer) %</t>
  </si>
  <si>
    <t>MP TW (€)</t>
  </si>
  <si>
    <t>MP TW (B)</t>
  </si>
  <si>
    <t>MP AV (€)</t>
  </si>
  <si>
    <t>MP AV (B)</t>
  </si>
  <si>
    <t>DSK (€)</t>
  </si>
  <si>
    <t>DSK (Backer)</t>
  </si>
  <si>
    <t>DSK norm (€)</t>
  </si>
  <si>
    <t>DSK norm (Backer)</t>
  </si>
  <si>
    <t>MP DSK (€)</t>
  </si>
  <si>
    <t>MP DSK (B)</t>
  </si>
  <si>
    <t>Tag 2 mal X</t>
  </si>
  <si>
    <t>Min:</t>
  </si>
  <si>
    <t>Max:</t>
  </si>
  <si>
    <t>B</t>
  </si>
  <si>
    <t>€ kum.</t>
  </si>
  <si>
    <t>Backer kum</t>
  </si>
  <si>
    <t>Vorlage Tag 3</t>
  </si>
  <si>
    <t>4* Tag 2</t>
  </si>
  <si>
    <t>Anteil Ist/HR</t>
  </si>
  <si>
    <t>Anstieg Ist/HR</t>
  </si>
  <si>
    <t>Min. Schätzung</t>
  </si>
  <si>
    <t>Max. Schätzung</t>
  </si>
  <si>
    <t>Stand Ist/HR</t>
  </si>
  <si>
    <t>Anmerkungen</t>
  </si>
  <si>
    <t>Summe</t>
  </si>
  <si>
    <t>4.</t>
  </si>
  <si>
    <t>6.</t>
  </si>
  <si>
    <t>8.</t>
  </si>
  <si>
    <t>12.</t>
  </si>
  <si>
    <t>14.</t>
  </si>
  <si>
    <t>16.</t>
  </si>
  <si>
    <t>17.</t>
  </si>
  <si>
    <t>18.</t>
  </si>
  <si>
    <t>20.</t>
  </si>
  <si>
    <t>21.</t>
  </si>
  <si>
    <t>19.</t>
  </si>
  <si>
    <t>Wunsch-
produkte</t>
  </si>
  <si>
    <t>mp3</t>
  </si>
  <si>
    <t>"Das Auge spielt mit"</t>
  </si>
  <si>
    <t>Nedime (€)</t>
  </si>
  <si>
    <t>Nedime (Backer)</t>
  </si>
  <si>
    <t>Mythen (€)</t>
  </si>
  <si>
    <t>Mythen (Backer)</t>
  </si>
  <si>
    <t>Mythen norm (€)</t>
  </si>
  <si>
    <t>Mythen norm (Backer)</t>
  </si>
  <si>
    <t>Aventuria:Mythen&amp;Legenden</t>
  </si>
  <si>
    <t>€ Summe</t>
  </si>
  <si>
    <t>MP WM (€)</t>
  </si>
  <si>
    <t>MP WM (B)</t>
  </si>
  <si>
    <t>Tag 1</t>
  </si>
  <si>
    <t>Tag 2</t>
  </si>
  <si>
    <t>Min.</t>
  </si>
  <si>
    <t>Max.</t>
  </si>
  <si>
    <t>Kalkulation min.</t>
  </si>
  <si>
    <t>Kalkulation max.</t>
  </si>
  <si>
    <t>€ ges.</t>
  </si>
  <si>
    <t>Prognose</t>
  </si>
  <si>
    <t>DSK (B)</t>
  </si>
  <si>
    <t>WM (€)</t>
  </si>
  <si>
    <t>WM (B)</t>
  </si>
  <si>
    <t>AML (€)</t>
  </si>
  <si>
    <t>AML (B)</t>
  </si>
  <si>
    <t>ANB (€)</t>
  </si>
  <si>
    <t>ANB (B)</t>
  </si>
  <si>
    <t>AML (€/kum)</t>
  </si>
  <si>
    <t>AML (B/kum)</t>
  </si>
  <si>
    <t>DSK (€/kum)</t>
  </si>
  <si>
    <t>DSK (B/kum)</t>
  </si>
  <si>
    <t>WM (€/kum)</t>
  </si>
  <si>
    <t>WM (B/kum)</t>
  </si>
  <si>
    <t>ANB (€/kum)</t>
  </si>
  <si>
    <t>ANB (B/kum)</t>
  </si>
  <si>
    <t>Tag 3</t>
  </si>
  <si>
    <t>Schnitt</t>
  </si>
  <si>
    <t>PDF</t>
  </si>
  <si>
    <r>
      <t xml:space="preserve">Die zusätzlichen Produkte, die du </t>
    </r>
    <r>
      <rPr>
        <b/>
        <i/>
        <sz val="10"/>
        <color rgb="FF0070C0"/>
        <rFont val="Book Antiqua"/>
        <family val="1"/>
      </rPr>
      <t>bei deiner Kombination</t>
    </r>
    <r>
      <rPr>
        <b/>
        <i/>
        <sz val="10"/>
        <color theme="1"/>
        <rFont val="Book Antiqua"/>
        <family val="1"/>
      </rPr>
      <t xml:space="preserve"> erhältst, die </t>
    </r>
    <r>
      <rPr>
        <b/>
        <i/>
        <sz val="10"/>
        <color rgb="FFFF0000"/>
        <rFont val="Book Antiqua"/>
        <family val="1"/>
      </rPr>
      <t>nicht Teil deines Wunschpakets</t>
    </r>
    <r>
      <rPr>
        <b/>
        <i/>
        <sz val="10"/>
        <color theme="1"/>
        <rFont val="Book Antiqua"/>
        <family val="1"/>
      </rPr>
      <t xml:space="preserve"> sind, haben folgenden Wert:</t>
    </r>
  </si>
  <si>
    <r>
      <t xml:space="preserve">Diesen Gesamtrabatt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(nach dem Crowdfunding) im F-Shop insgesamt:</t>
    </r>
  </si>
  <si>
    <t>MP AML (€)</t>
  </si>
  <si>
    <t>MP AML (B)</t>
  </si>
  <si>
    <t>SOK (€)</t>
  </si>
  <si>
    <t>SOK (Backer)</t>
  </si>
  <si>
    <t>Werkzeuge</t>
  </si>
  <si>
    <t>Patrizierin</t>
  </si>
  <si>
    <t>Einokrat</t>
  </si>
  <si>
    <t>Signora</t>
  </si>
  <si>
    <t>Archont</t>
  </si>
  <si>
    <t>Comtess</t>
  </si>
  <si>
    <t>Seekönig</t>
  </si>
  <si>
    <t>https://www.gameontabletop.com/cf504/das-schwarze-auge-die-sonnenkuste.html</t>
  </si>
  <si>
    <t>Tag 3 mal X</t>
  </si>
  <si>
    <t>Tag 4 mal X</t>
  </si>
  <si>
    <t>Tag 5 mal X</t>
  </si>
  <si>
    <t>Tag 4</t>
  </si>
  <si>
    <t>Tag 5</t>
  </si>
  <si>
    <t>Tag 6 mal X</t>
  </si>
  <si>
    <t>Der "Die Sonnenküste – Der Wilde Süden &amp; die Zyklopeninsel"-Einkaufsführer</t>
  </si>
  <si>
    <t xml:space="preserve">© 2021 by Ulisses Spiele GmbH               </t>
  </si>
  <si>
    <t>Tag 6</t>
  </si>
  <si>
    <t>Tag 7</t>
  </si>
  <si>
    <t>Tag 7 mal X</t>
  </si>
  <si>
    <t>"Immer der Sonne hinterher"</t>
  </si>
  <si>
    <t>"Ein Souvenir für die Echtwelt"</t>
  </si>
  <si>
    <t>"Ein Entdecker und seine Notizen"</t>
  </si>
  <si>
    <t>"Satyrn lauschen dieser Musik"</t>
  </si>
  <si>
    <t>"Platz für deine Werte"</t>
  </si>
  <si>
    <t>"Wir schalten die Buchpresse an"</t>
  </si>
  <si>
    <t>"Das ist Musik in meinen Ohren"</t>
  </si>
  <si>
    <t>"Nichts für schwache Nerven"</t>
  </si>
  <si>
    <t>"Auf Gerons Spuren"</t>
  </si>
  <si>
    <t>"Die Druckerpresse läuft weiter"</t>
  </si>
  <si>
    <t>"Schützt gegen neugierige Blicke"</t>
  </si>
  <si>
    <t>"Möge Aves euch schützen"</t>
  </si>
  <si>
    <t>"Hört ihr diese liebliche Musik</t>
  </si>
  <si>
    <t>"Setzt die Segel"</t>
  </si>
  <si>
    <t>"Auf Gerons Spuren II"</t>
  </si>
  <si>
    <t>"Ein Schirm für den Meister"</t>
  </si>
  <si>
    <t>"Extrablatt … Eeextrablatt"</t>
  </si>
  <si>
    <t>"Markiere deinen Drachenhort"</t>
  </si>
  <si>
    <t>"Musik ist die Sprache der Seele"</t>
  </si>
  <si>
    <t>"Bei Wasser und Brot"</t>
  </si>
  <si>
    <t>"Auf Gerons Spuren III"</t>
  </si>
  <si>
    <t>"Auf ins Abenteuer"</t>
  </si>
  <si>
    <t>"Frische Zeitung…"</t>
  </si>
  <si>
    <t>"Kommt zu mir, Rattenkinder"</t>
  </si>
  <si>
    <t>"Fürs Büro"</t>
  </si>
  <si>
    <t>"Bücher sind mächtige Waffen"</t>
  </si>
  <si>
    <t>"Auf Gerons Spuren IV"</t>
  </si>
  <si>
    <t>"Druckfrisch vom Verlag"</t>
  </si>
  <si>
    <t>"Ein Aufkleber für deinen Koffer"</t>
  </si>
  <si>
    <t>"Schlafende soll man nicht wecken"</t>
  </si>
  <si>
    <t>"Auf Gerons Spuren V"</t>
  </si>
  <si>
    <t>"Für deine CD-Sammlung"</t>
  </si>
  <si>
    <t>"Mach Platz in deinem Schrank"</t>
  </si>
  <si>
    <t>"Geboren fürs Abenteuer"</t>
  </si>
  <si>
    <t>"Auf Gerons Spuren VI"</t>
  </si>
  <si>
    <t>"Uralte Schätze warten auf dich"</t>
  </si>
  <si>
    <t>"Ganz fette Beute"</t>
  </si>
  <si>
    <t>"Ein Lied für das ganze Leben"</t>
  </si>
  <si>
    <t>"Ein furchtloses Paar"</t>
  </si>
  <si>
    <t>"Ich fordere dich zum Duell"</t>
  </si>
  <si>
    <t>Softcover</t>
  </si>
  <si>
    <t>Hardcover + PDF</t>
  </si>
  <si>
    <t>Softcover + PDF</t>
  </si>
  <si>
    <t>Box</t>
  </si>
  <si>
    <t>Würfel</t>
  </si>
  <si>
    <t>Stoff</t>
  </si>
  <si>
    <t>Die Sonnenküste "Plus" für Foundry VTT</t>
  </si>
  <si>
    <t>FoundryVTT-Modul</t>
  </si>
  <si>
    <t>Labyrinth der Intrigen – Regionalabenteuer für Foundry VTT</t>
  </si>
  <si>
    <t>CD + mp3</t>
  </si>
  <si>
    <t>Crowdfunding-Pack</t>
  </si>
  <si>
    <t>Diverse</t>
  </si>
  <si>
    <t>Meisterset</t>
  </si>
  <si>
    <t>Softcover + Bögen</t>
  </si>
  <si>
    <t>Spielkarten + PDF</t>
  </si>
  <si>
    <t>Landkarten + PDF</t>
  </si>
  <si>
    <t>Spielpläne + PDF</t>
  </si>
  <si>
    <t>Acrylmarker</t>
  </si>
  <si>
    <t>- Aufkleber "Horasreich"</t>
  </si>
  <si>
    <t>- Heldendokument "Wilder Süden"</t>
  </si>
  <si>
    <t>Aufkleber</t>
  </si>
  <si>
    <t>- Heldendokument "Zyklopeninseln"</t>
  </si>
  <si>
    <t>Poster</t>
  </si>
  <si>
    <t>Bögen</t>
  </si>
  <si>
    <r>
      <t xml:space="preserve">(made with </t>
    </r>
    <r>
      <rPr>
        <b/>
        <sz val="10"/>
        <color rgb="FFC00000"/>
        <rFont val="Book Antiqua"/>
        <family val="1"/>
      </rPr>
      <t>Auge</t>
    </r>
    <r>
      <rPr>
        <b/>
        <sz val="10"/>
        <color theme="1"/>
        <rFont val="Book Antiqua"/>
        <family val="1"/>
      </rPr>
      <t xml:space="preserve"> by Hinter dem Auge …der DSA-Info-Podcast!)</t>
    </r>
  </si>
  <si>
    <r>
      <rPr>
        <b/>
        <sz val="10"/>
        <color rgb="FFFF0000"/>
        <rFont val="Book Antiqua"/>
        <family val="1"/>
      </rPr>
      <t xml:space="preserve">Kein Paket </t>
    </r>
    <r>
      <rPr>
        <b/>
        <sz val="10"/>
        <rFont val="Book Antiqua"/>
        <family val="1"/>
      </rPr>
      <t>(Kauf im F-Shop, nach dem CF)</t>
    </r>
  </si>
  <si>
    <r>
      <rPr>
        <b/>
        <u/>
        <sz val="10"/>
        <color theme="1"/>
        <rFont val="Book Antiqua"/>
        <family val="1"/>
      </rPr>
      <t>Physische</t>
    </r>
    <r>
      <rPr>
        <b/>
        <sz val="10"/>
        <color theme="1"/>
        <rFont val="Book Antiqua"/>
        <family val="1"/>
      </rPr>
      <t xml:space="preserve"> Produkte des Crowdfundings</t>
    </r>
  </si>
  <si>
    <r>
      <rPr>
        <b/>
        <sz val="10"/>
        <color theme="1"/>
        <rFont val="Book Antiqua"/>
        <family val="1"/>
      </rPr>
      <t>Rabatt</t>
    </r>
    <r>
      <rPr>
        <sz val="10"/>
        <color theme="1"/>
        <rFont val="Book Antiqua"/>
        <family val="1"/>
      </rPr>
      <t>; Schätzpreis, Preis nach CF ist unbekannt</t>
    </r>
  </si>
  <si>
    <r>
      <t xml:space="preserve">Das zahlst du insgesamt für </t>
    </r>
    <r>
      <rPr>
        <b/>
        <sz val="10"/>
        <color rgb="FF0070C0"/>
        <rFont val="Book Antiqua"/>
        <family val="1"/>
      </rPr>
      <t>die jeweilige Kombination</t>
    </r>
    <r>
      <rPr>
        <b/>
        <sz val="10"/>
        <color theme="1"/>
        <rFont val="Book Antiqua"/>
        <family val="1"/>
      </rPr>
      <t xml:space="preserve">, die </t>
    </r>
    <r>
      <rPr>
        <b/>
        <sz val="10"/>
        <color rgb="FFFF0000"/>
        <rFont val="Book Antiqua"/>
        <family val="1"/>
      </rPr>
      <t>dein Wunschpaket</t>
    </r>
    <r>
      <rPr>
        <b/>
        <sz val="10"/>
        <color theme="1"/>
        <rFont val="Book Antiqua"/>
        <family val="1"/>
      </rPr>
      <t xml:space="preserve"> inkl. der Zusatzprodukte mit abdeckt: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</si>
  <si>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"Patrizierin"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</si>
  <si>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"Einokrat"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</si>
  <si>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"Signora"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</si>
  <si>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"Archont"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</si>
  <si>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"Comtess"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</si>
  <si>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"Seekönig"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</si>
  <si>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kostet </t>
    </r>
    <r>
      <rPr>
        <b/>
        <i/>
        <sz val="10"/>
        <color rgb="FFFF0000"/>
        <rFont val="Book Antiqua"/>
        <family val="1"/>
      </rPr>
      <t>dein Wunschpaket</t>
    </r>
    <r>
      <rPr>
        <b/>
        <i/>
        <sz val="10"/>
        <color theme="1"/>
        <rFont val="Book Antiqua"/>
        <family val="1"/>
      </rPr>
      <t>(nach dem Crowdfunding) (voraussichtlich) im F-Shop:</t>
    </r>
  </si>
  <si>
    <t>µ
µ
µ</t>
  </si>
  <si>
    <t>- Poster "Hauptband"</t>
  </si>
  <si>
    <t>- Aufkleber "Aves"</t>
  </si>
  <si>
    <t>Einleger</t>
  </si>
  <si>
    <t>- Poster "Rüstkammer"</t>
  </si>
  <si>
    <t>- Aufkleber "Der Namenlose"</t>
  </si>
  <si>
    <t>- Schauplatz "Oktogon, Hauptsitz des Hesindeordens der Draconiter"</t>
  </si>
  <si>
    <t>- Aufkleber "Zyklopeninseln"</t>
  </si>
  <si>
    <t>Druckmotive</t>
  </si>
  <si>
    <t>- Poster "Abenteuer"</t>
  </si>
  <si>
    <t>* Abenteuerskizze "Blut-Topase in Thegûn"</t>
  </si>
  <si>
    <t>* Abenteuerskizze "Das Schiff auf dem Berg"</t>
  </si>
  <si>
    <t>* Abenteuerskizze "Die Mordnacht von Morbal"</t>
  </si>
  <si>
    <t>* Abenteuerskizze "Die Bestie aus uralter Zeit"</t>
  </si>
  <si>
    <t>* Abenteuerskizze "Auf die Spitze getrieben"</t>
  </si>
  <si>
    <t>* Geronsage 1-6</t>
  </si>
  <si>
    <t>12/12 vergriffen</t>
  </si>
  <si>
    <t>CC-Punkte</t>
  </si>
  <si>
    <r>
      <t xml:space="preserve">Die Sonnenküste – Der Wilde Süden &amp; die Zyklopeninseln (Hauptband) </t>
    </r>
    <r>
      <rPr>
        <sz val="8"/>
        <color theme="1"/>
        <rFont val="Book Antiqua"/>
        <family val="1"/>
      </rPr>
      <t>(192 Seiten)</t>
    </r>
  </si>
  <si>
    <r>
      <t>Rüstkammer der Sonnenküste</t>
    </r>
    <r>
      <rPr>
        <sz val="8"/>
        <color theme="1"/>
        <rFont val="Book Antiqua"/>
        <family val="1"/>
      </rPr>
      <t xml:space="preserve"> (48 Seiten)</t>
    </r>
  </si>
  <si>
    <r>
      <t xml:space="preserve">Das Heldenbrevier der Sonnenküste - Reiseberichte aus dem Horasreich </t>
    </r>
    <r>
      <rPr>
        <sz val="8"/>
        <color theme="1"/>
        <rFont val="Book Antiqua"/>
        <family val="1"/>
      </rPr>
      <t>(160 Seiten; A6)</t>
    </r>
  </si>
  <si>
    <r>
      <t>Glaube, Macht und Heldenmut – Die Sonnenküste</t>
    </r>
    <r>
      <rPr>
        <sz val="8"/>
        <color theme="1"/>
        <rFont val="Book Antiqua"/>
        <family val="1"/>
      </rPr>
      <t xml:space="preserve"> (32 Seiten)</t>
    </r>
  </si>
  <si>
    <r>
      <t>Labyrinth der Intrigen (Regionalabenteuer)</t>
    </r>
    <r>
      <rPr>
        <sz val="8"/>
        <color theme="1"/>
        <rFont val="Book Antiqua"/>
        <family val="1"/>
      </rPr>
      <t xml:space="preserve"> (48 Seiten)</t>
    </r>
  </si>
  <si>
    <r>
      <t xml:space="preserve">Draconiter-Vademecum </t>
    </r>
    <r>
      <rPr>
        <sz val="8"/>
        <color theme="1"/>
        <rFont val="Book Antiqua"/>
        <family val="1"/>
      </rPr>
      <t>(160 Seiten; A6)</t>
    </r>
  </si>
  <si>
    <r>
      <t>Spielkartenset – Die Sonnenküste</t>
    </r>
    <r>
      <rPr>
        <sz val="8"/>
        <color theme="1"/>
        <rFont val="Book Antiqua"/>
        <family val="1"/>
      </rPr>
      <t xml:space="preserve"> (150 Karten?)</t>
    </r>
  </si>
  <si>
    <r>
      <t>Spielplanset – Die Sonnenküste</t>
    </r>
    <r>
      <rPr>
        <sz val="8"/>
        <color theme="1"/>
        <rFont val="Book Antiqua"/>
        <family val="1"/>
      </rPr>
      <t xml:space="preserve"> (4 Schauplätze A3, 1 Schauplatz A2)</t>
    </r>
  </si>
  <si>
    <r>
      <t xml:space="preserve">Acrylmarkerset – Die Sonnenküste </t>
    </r>
    <r>
      <rPr>
        <sz val="8"/>
        <color theme="1"/>
        <rFont val="Book Antiqua"/>
        <family val="1"/>
      </rPr>
      <t>(24 Acrylmarker)</t>
    </r>
  </si>
  <si>
    <r>
      <t xml:space="preserve">DSA1 – Das Geheimnis der Zyklopen (remastered) </t>
    </r>
    <r>
      <rPr>
        <sz val="8"/>
        <color theme="1"/>
        <rFont val="Book Antiqua"/>
        <family val="1"/>
      </rPr>
      <t>(63 Seiten)</t>
    </r>
  </si>
  <si>
    <r>
      <t xml:space="preserve">DSA1 – Findet das Schwert der Göttin! (remastered) </t>
    </r>
    <r>
      <rPr>
        <sz val="8"/>
        <color theme="1"/>
        <rFont val="Book Antiqua"/>
        <family val="1"/>
      </rPr>
      <t>(44 Seiten)</t>
    </r>
  </si>
  <si>
    <r>
      <t>Die Legende von Thalionmel (Neuauflage)</t>
    </r>
    <r>
      <rPr>
        <sz val="8"/>
        <color theme="1"/>
        <rFont val="Book Antiqua"/>
        <family val="1"/>
      </rPr>
      <t xml:space="preserve"> (ca. 595 Seiten)</t>
    </r>
  </si>
  <si>
    <t>Zeitung</t>
  </si>
  <si>
    <r>
      <t>- Neethaner Nachrichten</t>
    </r>
    <r>
      <rPr>
        <i/>
        <sz val="8"/>
        <color theme="1"/>
        <rFont val="Book Antiqua"/>
        <family val="1"/>
      </rPr>
      <t xml:space="preserve"> (4 Seiten; A2)</t>
    </r>
  </si>
  <si>
    <r>
      <t xml:space="preserve">- Einleger Universal-Meisterschirm </t>
    </r>
    <r>
      <rPr>
        <i/>
        <sz val="8"/>
        <color theme="1"/>
        <rFont val="Book Antiqua"/>
        <family val="1"/>
      </rPr>
      <t>(6 Stück)</t>
    </r>
  </si>
  <si>
    <r>
      <t>Landkartenset – Die Sonnenküste</t>
    </r>
    <r>
      <rPr>
        <sz val="8"/>
        <color theme="1"/>
        <rFont val="Book Antiqua"/>
        <family val="1"/>
      </rPr>
      <t xml:space="preserve"> (X Karten?)</t>
    </r>
  </si>
  <si>
    <r>
      <t xml:space="preserve">- Purpurschein &amp; Heldensagen </t>
    </r>
    <r>
      <rPr>
        <i/>
        <sz val="8"/>
        <color theme="1"/>
        <rFont val="Book Antiqua"/>
        <family val="1"/>
      </rPr>
      <t>(inkl. 5 Abenteuerskizzen  + Geronsaga)</t>
    </r>
  </si>
  <si>
    <r>
      <t>- Auf ins Abenteuer</t>
    </r>
    <r>
      <rPr>
        <i/>
        <sz val="8"/>
        <color theme="1"/>
        <rFont val="Book Antiqua"/>
        <family val="1"/>
      </rPr>
      <t xml:space="preserve"> (32 Seiten; Abenteuer "Zyklopenauge" und 6 Archetypen)</t>
    </r>
  </si>
  <si>
    <r>
      <t xml:space="preserve">Dein Held in den Neethaner Nachrichten! </t>
    </r>
    <r>
      <rPr>
        <b/>
        <sz val="10"/>
        <color rgb="FF00B050"/>
        <rFont val="Book Antiqua"/>
        <family val="1"/>
      </rPr>
      <t>(exklusiv im Crowdfunding!)</t>
    </r>
  </si>
  <si>
    <t>Als 48 h-Special bereits an die Backer versandt!</t>
  </si>
  <si>
    <t>Hinter dem Auge: Blog, Podcast, Twitch, YouTube etc.:</t>
  </si>
  <si>
    <t>https://hinterdemauge.blogspot.com</t>
  </si>
  <si>
    <t>Thorwal</t>
  </si>
  <si>
    <t>ca.-Werte</t>
  </si>
  <si>
    <r>
      <t xml:space="preserve">Sphärenklang – Die Sonnenküste Audio CD </t>
    </r>
    <r>
      <rPr>
        <sz val="8"/>
        <color theme="1"/>
        <rFont val="Book Antiqua"/>
        <family val="1"/>
      </rPr>
      <t>(27 Tracks)</t>
    </r>
  </si>
  <si>
    <r>
      <t xml:space="preserve">Sphärenklang – Die Sonnenküste </t>
    </r>
    <r>
      <rPr>
        <sz val="8"/>
        <color theme="1"/>
        <rFont val="Book Antiqua"/>
        <family val="1"/>
      </rPr>
      <t>(27 Tracks)</t>
    </r>
  </si>
  <si>
    <t>Bildschirm-Hintergrund</t>
  </si>
  <si>
    <t>Bilddatei</t>
  </si>
  <si>
    <t>Schätzpreis; nicht als Zusatzprodukt erhältlich</t>
  </si>
  <si>
    <r>
      <t>Sonnenküsten-Druckmotive für GetShirts</t>
    </r>
    <r>
      <rPr>
        <b/>
        <sz val="10"/>
        <color rgb="FF00B050"/>
        <rFont val="Book Antiqua"/>
        <family val="1"/>
      </rPr>
      <t xml:space="preserve"> (exklusiv im Crowdfunding!)</t>
    </r>
  </si>
  <si>
    <t>Die Sonnenküste</t>
  </si>
  <si>
    <r>
      <rPr>
        <b/>
        <i/>
        <u/>
        <sz val="10"/>
        <color theme="1"/>
        <rFont val="Book Antiqua"/>
        <family val="1"/>
      </rPr>
      <t>Digitale/Sonstige</t>
    </r>
    <r>
      <rPr>
        <b/>
        <i/>
        <sz val="10"/>
        <color theme="1"/>
        <rFont val="Book Antiqua"/>
        <family val="1"/>
      </rPr>
      <t xml:space="preserve"> Produkte des Crowdfundings</t>
    </r>
    <r>
      <rPr>
        <b/>
        <sz val="11"/>
        <color rgb="FFFF0000"/>
        <rFont val="Book Antiqua"/>
        <family val="1"/>
      </rPr>
      <t/>
    </r>
  </si>
  <si>
    <t>"Sie kommen zu zweit"</t>
  </si>
  <si>
    <t>"Reif für die Insel"</t>
  </si>
  <si>
    <t>"Noch mehr für deine Helden"</t>
  </si>
  <si>
    <t>"Auf ins Labyrinth!"</t>
  </si>
  <si>
    <t>"Weitere Heldendokumente"</t>
  </si>
  <si>
    <t>"Das geschriebene Wort"</t>
  </si>
  <si>
    <t>- Aufkleber "Reif für die Insel"</t>
  </si>
  <si>
    <r>
      <t>- Heldendokument "Wilder Süden"</t>
    </r>
    <r>
      <rPr>
        <i/>
        <sz val="8"/>
        <color theme="1"/>
        <rFont val="Book Antiqua"/>
        <family val="1"/>
      </rPr>
      <t xml:space="preserve"> (5 Stück)</t>
    </r>
  </si>
  <si>
    <r>
      <t>- Archetypen-Heldenbögen</t>
    </r>
    <r>
      <rPr>
        <i/>
        <sz val="8"/>
        <color theme="1"/>
        <rFont val="Book Antiqua"/>
        <family val="1"/>
      </rPr>
      <t xml:space="preserve"> (6 Stück)</t>
    </r>
  </si>
  <si>
    <r>
      <t>- Abenteuer "Kalias' Labyrinth"</t>
    </r>
    <r>
      <rPr>
        <i/>
        <sz val="8"/>
        <color theme="1"/>
        <rFont val="Book Antiqua"/>
        <family val="1"/>
      </rPr>
      <t xml:space="preserve"> (16 Seiten)</t>
    </r>
  </si>
  <si>
    <t>* Abenteuerskizze "Das Schwert von Skebos"</t>
  </si>
  <si>
    <t>Zettel</t>
  </si>
  <si>
    <t>vermutlich nach dem CF nicht separat erhältlich!</t>
  </si>
  <si>
    <r>
      <t>Sammelbox</t>
    </r>
    <r>
      <rPr>
        <b/>
        <sz val="10"/>
        <color rgb="FF00B050"/>
        <rFont val="Book Antiqua"/>
        <family val="1"/>
      </rPr>
      <t xml:space="preserve"> (als Einzelprodukt exklusiv im Crowdfunding!)</t>
    </r>
  </si>
  <si>
    <r>
      <t>Würfelset „Wilder Süden“</t>
    </r>
    <r>
      <rPr>
        <sz val="8"/>
        <color theme="1"/>
        <rFont val="Book Antiqua"/>
        <family val="1"/>
      </rPr>
      <t xml:space="preserve"> (2 Würfel) </t>
    </r>
    <r>
      <rPr>
        <b/>
        <sz val="10"/>
        <color rgb="FF00B050"/>
        <rFont val="Book Antiqua"/>
        <family val="1"/>
      </rPr>
      <t>(als Einzelprodukt exklusiv im Crowdfunding!)</t>
    </r>
  </si>
  <si>
    <r>
      <t>Würfelset „Zyklopeninseln“</t>
    </r>
    <r>
      <rPr>
        <sz val="8"/>
        <color theme="1"/>
        <rFont val="Book Antiqua"/>
        <family val="1"/>
      </rPr>
      <t xml:space="preserve"> (2 Würfel) </t>
    </r>
    <r>
      <rPr>
        <b/>
        <sz val="10"/>
        <color rgb="FF00B050"/>
        <rFont val="Book Antiqua"/>
        <family val="1"/>
      </rPr>
      <t>(als Einzelprodukt exklusiv im Crowdfunding!)</t>
    </r>
  </si>
  <si>
    <r>
      <t>Die Sonnenküste – Der Wilde Süden &amp; die Zyklopeninseln (limitiert)</t>
    </r>
    <r>
      <rPr>
        <sz val="8"/>
        <color theme="1"/>
        <rFont val="Book Antiqua"/>
        <family val="1"/>
      </rPr>
      <t xml:space="preserve"> (192 Seiten) </t>
    </r>
    <r>
      <rPr>
        <b/>
        <sz val="10"/>
        <color rgb="FF00B050"/>
        <rFont val="Book Antiqua"/>
        <family val="1"/>
      </rPr>
      <t>(als Einzelprodukt exklusiv im Crowdfunding!)</t>
    </r>
  </si>
  <si>
    <t>nur bis zum 28.05. erhältlich!</t>
  </si>
  <si>
    <r>
      <rPr>
        <b/>
        <sz val="10"/>
        <color rgb="FF00B050"/>
        <rFont val="Book Antiqua"/>
        <family val="1"/>
      </rPr>
      <t>Rabatt</t>
    </r>
    <r>
      <rPr>
        <sz val="10"/>
        <color rgb="FF00B050"/>
        <rFont val="Book Antiqua"/>
        <family val="1"/>
      </rPr>
      <t>; NICHT nach dem CF einzeln erwerbar</t>
    </r>
  </si>
  <si>
    <r>
      <t xml:space="preserve">- Purpurschein &amp; Heldensagen </t>
    </r>
    <r>
      <rPr>
        <i/>
        <sz val="8"/>
        <color theme="1"/>
        <rFont val="Book Antiqua"/>
        <family val="1"/>
      </rPr>
      <t>(inkl. 5 Abenteuerskizzen, Oktogon  + Geronsaga; siehe "Digitale Produkte")</t>
    </r>
    <r>
      <rPr>
        <b/>
        <i/>
        <sz val="8"/>
        <color theme="1"/>
        <rFont val="Book Antiqua"/>
        <family val="1"/>
      </rPr>
      <t/>
    </r>
  </si>
  <si>
    <r>
      <t xml:space="preserve">Das kostet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rFont val="Book Antiqua"/>
        <family val="1"/>
      </rPr>
      <t xml:space="preserve"> (nach dem Crowdfunding) im </t>
    </r>
    <r>
      <rPr>
        <b/>
        <i/>
        <sz val="10"/>
        <color theme="1"/>
        <rFont val="Book Antiqua"/>
        <family val="1"/>
      </rPr>
      <t>F-Shop + ulisses-ebook-Shop (voraussichtlich) insgesamt:</t>
    </r>
  </si>
  <si>
    <t>CC-Punkte (CP)</t>
  </si>
  <si>
    <r>
      <t>Verzicht auf das "Crowdfunding-Pack", stattdessen 1 € an Ecosia</t>
    </r>
    <r>
      <rPr>
        <b/>
        <sz val="10"/>
        <color rgb="FF00B050"/>
        <rFont val="Book Antiqua"/>
        <family val="1"/>
      </rPr>
      <t xml:space="preserve"> (exklusiv im Crowdfunding!)</t>
    </r>
  </si>
  <si>
    <t>Stoffkarte - Die Sonnenküste</t>
  </si>
  <si>
    <r>
      <t xml:space="preserve">- Heldendokument "Zyklopeninseln" </t>
    </r>
    <r>
      <rPr>
        <i/>
        <sz val="8"/>
        <color theme="1"/>
        <rFont val="Book Antiqua"/>
        <family val="1"/>
      </rPr>
      <t>(5 Stück)</t>
    </r>
  </si>
  <si>
    <t>"Der Plan zum Labyrinth"</t>
  </si>
  <si>
    <r>
      <t>- Handouts zu "Labyrinth der Intrigen"</t>
    </r>
    <r>
      <rPr>
        <i/>
        <sz val="8"/>
        <color theme="1"/>
        <rFont val="Book Antiqua"/>
        <family val="1"/>
      </rPr>
      <t>(X Stück)</t>
    </r>
  </si>
  <si>
    <r>
      <rPr>
        <i/>
        <strike/>
        <sz val="10"/>
        <color theme="1"/>
        <rFont val="Book Antiqua"/>
        <family val="1"/>
      </rPr>
      <t>- Drei Botenartikel zum Abenteuer "Kalias' Labyrinth"</t>
    </r>
    <r>
      <rPr>
        <i/>
        <sz val="8"/>
        <color theme="1"/>
        <rFont val="Book Antiqua"/>
        <family val="1"/>
      </rPr>
      <t xml:space="preserve"> </t>
    </r>
    <r>
      <rPr>
        <b/>
        <i/>
        <sz val="10"/>
        <color theme="1"/>
        <rFont val="Book Antiqua"/>
        <family val="1"/>
      </rPr>
      <t>(49. Ziel bei 210.000 €)</t>
    </r>
  </si>
  <si>
    <t>"Insel-Intrigen"</t>
  </si>
  <si>
    <t>"Der Intrige letzter Teil"</t>
  </si>
  <si>
    <t>"Auf einsamen Pfaden"</t>
  </si>
  <si>
    <t>19:04</t>
  </si>
  <si>
    <t>Softcover + PDF/ePUB</t>
  </si>
  <si>
    <t>PDF/ePUB</t>
  </si>
  <si>
    <t>Erscheint erst NACH dem CF</t>
  </si>
  <si>
    <r>
      <rPr>
        <strike/>
        <sz val="10"/>
        <color theme="1"/>
        <rFont val="Book Antiqua"/>
        <family val="1"/>
      </rPr>
      <t xml:space="preserve">Regionales Solo-Abenteuer </t>
    </r>
    <r>
      <rPr>
        <b/>
        <strike/>
        <sz val="10"/>
        <color rgb="FF00B050"/>
        <rFont val="Book Antiqua"/>
        <family val="1"/>
      </rPr>
      <t>(erscheint erst NACH dem CF)</t>
    </r>
    <r>
      <rPr>
        <b/>
        <sz val="10"/>
        <rFont val="Book Antiqua"/>
        <family val="1"/>
      </rPr>
      <t xml:space="preserve"> (51. Ziel bei 230.000 €)</t>
    </r>
  </si>
  <si>
    <r>
      <t>- Abenteuer "Kalias' Labyrinth"</t>
    </r>
    <r>
      <rPr>
        <i/>
        <sz val="8"/>
        <color theme="1"/>
        <rFont val="Book Antiqua"/>
        <family val="1"/>
      </rPr>
      <t xml:space="preserve"> (16 Seiten) </t>
    </r>
    <r>
      <rPr>
        <i/>
        <sz val="10"/>
        <color theme="1"/>
        <rFont val="Book Antiqua"/>
        <family val="1"/>
      </rPr>
      <t>zzgl. 3 Botenartikel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</si>
</sst>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\ &quot;€&quot;"/>
    <numFmt numFmtId="165" formatCode="#,##0.00\ &quot;€&quot;"/>
    <numFmt numFmtId="166" formatCode="[$$-1009]#,##0"/>
    <numFmt numFmtId="167" formatCode="[$$-409]#,##0"/>
    <numFmt numFmtId="168" formatCode="[$£-809]#,##0"/>
    <numFmt numFmtId="169" formatCode="0.0%"/>
    <numFmt numFmtId="170" formatCode="dddd"/>
    <numFmt numFmtId="171" formatCode="h:mm;@"/>
    <numFmt numFmtId="172" formatCode="[h]:mm"/>
    <numFmt numFmtId="173" formatCode="0&quot;. Tag&quot;"/>
    <numFmt numFmtId="174" formatCode="dd/mm/yy"/>
    <numFmt numFmtId="175" formatCode="dd/mm/yy\,\ hh:mm"/>
  </numFmts>
  <fonts count="6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Book Antiqua"/>
      <family val="1"/>
    </font>
    <font>
      <b/>
      <i/>
      <sz val="10"/>
      <color rgb="FFFF0000"/>
      <name val="Book Antiqua"/>
      <family val="1"/>
    </font>
    <font>
      <i/>
      <sz val="10"/>
      <color theme="1"/>
      <name val="Book Antiqua"/>
      <family val="1"/>
    </font>
    <font>
      <b/>
      <i/>
      <sz val="10"/>
      <name val="Book Antiqua"/>
      <family val="1"/>
    </font>
    <font>
      <b/>
      <i/>
      <sz val="10"/>
      <color theme="1"/>
      <name val="Book Antiqua"/>
      <family val="1"/>
    </font>
    <font>
      <b/>
      <i/>
      <sz val="10"/>
      <color rgb="FF0070C0"/>
      <name val="Book Antiqua"/>
      <family val="1"/>
    </font>
    <font>
      <sz val="10"/>
      <color rgb="FFFF0000"/>
      <name val="Book Antiqua"/>
      <family val="1"/>
    </font>
    <font>
      <u/>
      <sz val="11"/>
      <color theme="10"/>
      <name val="Calibri"/>
      <family val="2"/>
      <scheme val="minor"/>
    </font>
    <font>
      <sz val="10"/>
      <color theme="1"/>
      <name val="Book Antiqua"/>
      <family val="1"/>
    </font>
    <font>
      <b/>
      <sz val="10"/>
      <color rgb="FFFF0000"/>
      <name val="Book Antiqua"/>
      <family val="1"/>
    </font>
    <font>
      <b/>
      <sz val="12"/>
      <color theme="1"/>
      <name val="Book Antiqua"/>
      <family val="1"/>
    </font>
    <font>
      <i/>
      <sz val="11"/>
      <color rgb="FFFF0000"/>
      <name val="Calibri"/>
      <family val="2"/>
      <scheme val="minor"/>
    </font>
    <font>
      <b/>
      <sz val="12"/>
      <name val="Book Antiqu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Book Antiqua"/>
      <family val="1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b/>
      <sz val="10"/>
      <color rgb="FF00B050"/>
      <name val="Book Antiqua"/>
      <family val="1"/>
    </font>
    <font>
      <i/>
      <sz val="10"/>
      <color rgb="FFFF0000"/>
      <name val="Book Antiqua"/>
      <family val="1"/>
    </font>
    <font>
      <b/>
      <sz val="10"/>
      <color theme="1"/>
      <name val="Book Antiqua"/>
      <family val="1"/>
    </font>
    <font>
      <b/>
      <u/>
      <sz val="10"/>
      <color theme="10"/>
      <name val="Book Antiqua"/>
      <family val="1"/>
    </font>
    <font>
      <b/>
      <sz val="10"/>
      <color rgb="FFC00000"/>
      <name val="Book Antiqua"/>
      <family val="1"/>
    </font>
    <font>
      <sz val="10"/>
      <color rgb="FF00B050"/>
      <name val="Book Antiqua"/>
      <family val="1"/>
    </font>
    <font>
      <strike/>
      <sz val="10"/>
      <color rgb="FFFF0000"/>
      <name val="Book Antiqua"/>
      <family val="1"/>
    </font>
    <font>
      <sz val="10"/>
      <name val="Book Antiqua"/>
      <family val="1"/>
    </font>
    <font>
      <b/>
      <u/>
      <sz val="10"/>
      <color theme="1"/>
      <name val="Book Antiqua"/>
      <family val="1"/>
    </font>
    <font>
      <strike/>
      <sz val="10"/>
      <color theme="1"/>
      <name val="Book Antiqua"/>
      <family val="1"/>
    </font>
    <font>
      <strike/>
      <sz val="10"/>
      <color rgb="FF00B050"/>
      <name val="Book Antiqua"/>
      <family val="1"/>
    </font>
    <font>
      <i/>
      <sz val="10"/>
      <color rgb="FF00B050"/>
      <name val="Book Antiqua"/>
      <family val="1"/>
    </font>
    <font>
      <i/>
      <strike/>
      <sz val="10"/>
      <color theme="1"/>
      <name val="Book Antiqua"/>
      <family val="1"/>
    </font>
    <font>
      <b/>
      <sz val="10"/>
      <color rgb="FF0070C0"/>
      <name val="Book Antiqua"/>
      <family val="1"/>
    </font>
    <font>
      <i/>
      <strike/>
      <sz val="10"/>
      <color rgb="FFFF0000"/>
      <name val="Book Antiqua"/>
      <family val="1"/>
    </font>
    <font>
      <sz val="10"/>
      <color theme="7" tint="-0.249977111117893"/>
      <name val="Book Antiqua"/>
      <family val="1"/>
    </font>
    <font>
      <sz val="10"/>
      <color rgb="FF0070C0"/>
      <name val="Book Antiqua"/>
      <family val="1"/>
    </font>
    <font>
      <i/>
      <sz val="10"/>
      <color rgb="FF0070C0"/>
      <name val="Book Antiqua"/>
      <family val="1"/>
    </font>
    <font>
      <i/>
      <sz val="10"/>
      <name val="Book Antiqua"/>
      <family val="1"/>
    </font>
    <font>
      <b/>
      <u/>
      <sz val="14"/>
      <color theme="10"/>
      <name val="Wingdings"/>
      <charset val="2"/>
    </font>
    <font>
      <sz val="14"/>
      <color theme="1"/>
      <name val="Wingdings"/>
      <charset val="2"/>
    </font>
    <font>
      <i/>
      <sz val="14"/>
      <color theme="1"/>
      <name val="Wingdings"/>
      <charset val="2"/>
    </font>
    <font>
      <b/>
      <sz val="14"/>
      <color theme="1"/>
      <name val="Wingdings"/>
      <charset val="2"/>
    </font>
    <font>
      <b/>
      <sz val="14"/>
      <color rgb="FFFF0000"/>
      <name val="Wingdings"/>
      <charset val="2"/>
    </font>
    <font>
      <sz val="14"/>
      <color rgb="FFFF0000"/>
      <name val="Wingdings"/>
      <charset val="2"/>
    </font>
    <font>
      <sz val="14"/>
      <color rgb="FF00B050"/>
      <name val="Wingdings"/>
      <charset val="2"/>
    </font>
    <font>
      <sz val="14"/>
      <name val="Wingdings"/>
      <charset val="2"/>
    </font>
    <font>
      <sz val="13"/>
      <color rgb="FFFF0000"/>
      <name val="Book Antiqua"/>
      <family val="1"/>
    </font>
    <font>
      <i/>
      <sz val="13"/>
      <color rgb="FFFF0000"/>
      <name val="Book Antiqua"/>
      <family val="1"/>
    </font>
    <font>
      <sz val="8"/>
      <color theme="1"/>
      <name val="Book Antiqua"/>
      <family val="1"/>
    </font>
    <font>
      <i/>
      <sz val="8"/>
      <color theme="1"/>
      <name val="Book Antiqua"/>
      <family val="1"/>
    </font>
    <font>
      <b/>
      <i/>
      <sz val="8"/>
      <color theme="1"/>
      <name val="Book Antiqua"/>
      <family val="1"/>
    </font>
    <font>
      <b/>
      <sz val="30"/>
      <color rgb="FFFF0000"/>
      <name val="Book Antiqua"/>
      <family val="1"/>
    </font>
    <font>
      <b/>
      <u/>
      <sz val="12"/>
      <color theme="10"/>
      <name val="Book Antiqua"/>
      <family val="1"/>
    </font>
    <font>
      <b/>
      <sz val="10"/>
      <color rgb="FF7030A0"/>
      <name val="Book Antiqua"/>
      <family val="1"/>
    </font>
    <font>
      <b/>
      <sz val="10"/>
      <color theme="7" tint="-0.249977111117893"/>
      <name val="Book Antiqua"/>
      <family val="1"/>
    </font>
    <font>
      <b/>
      <sz val="9"/>
      <color rgb="FF00B050"/>
      <name val="Book Antiqua"/>
      <family val="1"/>
    </font>
    <font>
      <b/>
      <sz val="9"/>
      <name val="Book Antiqua"/>
      <family val="1"/>
    </font>
    <font>
      <b/>
      <i/>
      <u/>
      <sz val="10"/>
      <color theme="1"/>
      <name val="Book Antiqua"/>
      <family val="1"/>
    </font>
    <font>
      <b/>
      <sz val="14"/>
      <color rgb="FFFF0000"/>
      <name val="Book Antiqua"/>
      <family val="1"/>
    </font>
    <font>
      <b/>
      <strike/>
      <sz val="10"/>
      <color rgb="FF00B050"/>
      <name val="Book Antiqua"/>
      <family val="1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 style="medium">
        <color rgb="FFFF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 diagonalDown="1"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 style="medium">
        <color rgb="FFFF0000"/>
      </diagonal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467">
    <xf numFmtId="0" fontId="0" fillId="0" borderId="0" xfId="0"/>
    <xf numFmtId="0" fontId="10" fillId="3" borderId="0" xfId="0" applyFont="1" applyFill="1"/>
    <xf numFmtId="0" fontId="15" fillId="3" borderId="0" xfId="0" applyFont="1" applyFill="1"/>
    <xf numFmtId="3" fontId="1" fillId="0" borderId="0" xfId="0" applyNumberFormat="1" applyFont="1"/>
    <xf numFmtId="3" fontId="6" fillId="0" borderId="0" xfId="0" applyNumberFormat="1" applyFont="1"/>
    <xf numFmtId="2" fontId="1" fillId="0" borderId="0" xfId="0" applyNumberFormat="1" applyFont="1"/>
    <xf numFmtId="0" fontId="6" fillId="0" borderId="0" xfId="0" applyFont="1"/>
    <xf numFmtId="3" fontId="0" fillId="0" borderId="0" xfId="0" applyNumberFormat="1"/>
    <xf numFmtId="2" fontId="6" fillId="0" borderId="0" xfId="0" applyNumberFormat="1" applyFont="1"/>
    <xf numFmtId="169" fontId="0" fillId="0" borderId="0" xfId="0" applyNumberFormat="1"/>
    <xf numFmtId="3" fontId="1" fillId="6" borderId="0" xfId="0" applyNumberFormat="1" applyFont="1" applyFill="1"/>
    <xf numFmtId="3" fontId="6" fillId="6" borderId="0" xfId="0" applyNumberFormat="1" applyFont="1" applyFill="1"/>
    <xf numFmtId="3" fontId="23" fillId="0" borderId="0" xfId="0" applyNumberFormat="1" applyFont="1"/>
    <xf numFmtId="3" fontId="3" fillId="0" borderId="0" xfId="0" applyNumberFormat="1" applyFont="1"/>
    <xf numFmtId="169" fontId="4" fillId="0" borderId="0" xfId="0" applyNumberFormat="1" applyFont="1"/>
    <xf numFmtId="169" fontId="22" fillId="0" borderId="0" xfId="0" applyNumberFormat="1" applyFont="1"/>
    <xf numFmtId="0" fontId="4" fillId="0" borderId="0" xfId="0" applyFont="1"/>
    <xf numFmtId="3" fontId="23" fillId="6" borderId="0" xfId="0" applyNumberFormat="1" applyFont="1" applyFill="1"/>
    <xf numFmtId="3" fontId="3" fillId="6" borderId="0" xfId="0" applyNumberFormat="1" applyFont="1" applyFill="1"/>
    <xf numFmtId="2" fontId="3" fillId="0" borderId="0" xfId="0" applyNumberFormat="1" applyFont="1"/>
    <xf numFmtId="2" fontId="23" fillId="0" borderId="0" xfId="0" applyNumberFormat="1" applyFont="1"/>
    <xf numFmtId="0" fontId="1" fillId="0" borderId="0" xfId="0" applyFont="1"/>
    <xf numFmtId="0" fontId="23" fillId="0" borderId="0" xfId="0" applyFont="1"/>
    <xf numFmtId="2" fontId="4" fillId="0" borderId="0" xfId="0" applyNumberFormat="1" applyFont="1"/>
    <xf numFmtId="2" fontId="0" fillId="0" borderId="0" xfId="0" applyNumberFormat="1"/>
    <xf numFmtId="2" fontId="1" fillId="0" borderId="36" xfId="0" applyNumberFormat="1" applyFont="1" applyBorder="1"/>
    <xf numFmtId="0" fontId="6" fillId="0" borderId="37" xfId="0" applyFont="1" applyBorder="1"/>
    <xf numFmtId="2" fontId="1" fillId="0" borderId="38" xfId="0" applyNumberFormat="1" applyFont="1" applyBorder="1"/>
    <xf numFmtId="2" fontId="6" fillId="0" borderId="39" xfId="0" applyNumberFormat="1" applyFont="1" applyBorder="1"/>
    <xf numFmtId="2" fontId="1" fillId="0" borderId="40" xfId="0" applyNumberFormat="1" applyFont="1" applyBorder="1"/>
    <xf numFmtId="2" fontId="6" fillId="0" borderId="41" xfId="0" applyNumberFormat="1" applyFont="1" applyBorder="1"/>
    <xf numFmtId="0" fontId="6" fillId="0" borderId="42" xfId="0" applyFont="1" applyBorder="1"/>
    <xf numFmtId="2" fontId="1" fillId="0" borderId="42" xfId="0" applyNumberFormat="1" applyFont="1" applyBorder="1"/>
    <xf numFmtId="2" fontId="6" fillId="0" borderId="0" xfId="0" applyNumberFormat="1" applyFont="1" applyBorder="1"/>
    <xf numFmtId="2" fontId="1" fillId="0" borderId="0" xfId="0" applyNumberFormat="1" applyFont="1" applyBorder="1"/>
    <xf numFmtId="2" fontId="6" fillId="0" borderId="43" xfId="0" applyNumberFormat="1" applyFont="1" applyBorder="1"/>
    <xf numFmtId="2" fontId="1" fillId="0" borderId="43" xfId="0" applyNumberFormat="1" applyFont="1" applyBorder="1"/>
    <xf numFmtId="4" fontId="1" fillId="0" borderId="0" xfId="0" applyNumberFormat="1" applyFont="1"/>
    <xf numFmtId="0" fontId="0" fillId="0" borderId="0" xfId="0" applyFont="1"/>
    <xf numFmtId="4" fontId="0" fillId="0" borderId="0" xfId="0" applyNumberFormat="1" applyFont="1"/>
    <xf numFmtId="1" fontId="1" fillId="0" borderId="0" xfId="0" applyNumberFormat="1" applyFont="1"/>
    <xf numFmtId="10" fontId="10" fillId="7" borderId="0" xfId="0" applyNumberFormat="1" applyFont="1" applyFill="1"/>
    <xf numFmtId="0" fontId="10" fillId="7" borderId="0" xfId="0" applyFont="1" applyFill="1"/>
    <xf numFmtId="0" fontId="24" fillId="7" borderId="0" xfId="0" applyFont="1" applyFill="1"/>
    <xf numFmtId="4" fontId="10" fillId="7" borderId="0" xfId="0" applyNumberFormat="1" applyFont="1" applyFill="1"/>
    <xf numFmtId="0" fontId="10" fillId="7" borderId="0" xfId="0" applyFont="1" applyFill="1" applyAlignment="1">
      <alignment horizontal="center"/>
    </xf>
    <xf numFmtId="165" fontId="10" fillId="7" borderId="0" xfId="0" applyNumberFormat="1" applyFont="1" applyFill="1"/>
    <xf numFmtId="0" fontId="15" fillId="7" borderId="0" xfId="0" applyFont="1" applyFill="1"/>
    <xf numFmtId="0" fontId="9" fillId="7" borderId="0" xfId="0" applyFont="1" applyFill="1"/>
    <xf numFmtId="4" fontId="15" fillId="7" borderId="0" xfId="0" applyNumberFormat="1" applyFont="1" applyFill="1"/>
    <xf numFmtId="3" fontId="1" fillId="0" borderId="0" xfId="0" applyNumberFormat="1" applyFont="1" applyFill="1"/>
    <xf numFmtId="3" fontId="3" fillId="0" borderId="0" xfId="0" applyNumberFormat="1" applyFont="1" applyFill="1"/>
    <xf numFmtId="2" fontId="2" fillId="0" borderId="0" xfId="0" applyNumberFormat="1" applyFont="1" applyBorder="1"/>
    <xf numFmtId="2" fontId="3" fillId="0" borderId="0" xfId="0" applyNumberFormat="1" applyFont="1" applyBorder="1"/>
    <xf numFmtId="2" fontId="23" fillId="0" borderId="39" xfId="0" applyNumberFormat="1" applyFont="1" applyBorder="1"/>
    <xf numFmtId="2" fontId="3" fillId="0" borderId="42" xfId="0" applyNumberFormat="1" applyFont="1" applyBorder="1"/>
    <xf numFmtId="0" fontId="23" fillId="0" borderId="42" xfId="0" applyFont="1" applyBorder="1"/>
    <xf numFmtId="2" fontId="23" fillId="0" borderId="0" xfId="0" applyNumberFormat="1" applyFont="1" applyBorder="1"/>
    <xf numFmtId="2" fontId="3" fillId="0" borderId="43" xfId="0" applyNumberFormat="1" applyFont="1" applyBorder="1"/>
    <xf numFmtId="2" fontId="23" fillId="0" borderId="43" xfId="0" applyNumberFormat="1" applyFont="1" applyBorder="1"/>
    <xf numFmtId="2" fontId="2" fillId="0" borderId="42" xfId="0" applyNumberFormat="1" applyFont="1" applyBorder="1"/>
    <xf numFmtId="0" fontId="18" fillId="0" borderId="42" xfId="0" applyFont="1" applyBorder="1"/>
    <xf numFmtId="2" fontId="18" fillId="0" borderId="0" xfId="0" applyNumberFormat="1" applyFont="1" applyBorder="1"/>
    <xf numFmtId="2" fontId="2" fillId="0" borderId="43" xfId="0" applyNumberFormat="1" applyFont="1" applyBorder="1"/>
    <xf numFmtId="2" fontId="18" fillId="0" borderId="43" xfId="0" applyNumberFormat="1" applyFont="1" applyBorder="1"/>
    <xf numFmtId="0" fontId="8" fillId="7" borderId="0" xfId="0" applyFont="1" applyFill="1"/>
    <xf numFmtId="0" fontId="8" fillId="7" borderId="0" xfId="0" applyFont="1" applyFill="1" applyAlignment="1">
      <alignment horizontal="center"/>
    </xf>
    <xf numFmtId="0" fontId="13" fillId="7" borderId="0" xfId="0" applyFont="1" applyFill="1"/>
    <xf numFmtId="3" fontId="0" fillId="0" borderId="51" xfId="0" applyNumberFormat="1" applyFont="1" applyFill="1" applyBorder="1"/>
    <xf numFmtId="4" fontId="0" fillId="0" borderId="0" xfId="0" applyNumberFormat="1"/>
    <xf numFmtId="4" fontId="15" fillId="7" borderId="0" xfId="0" applyNumberFormat="1" applyFont="1" applyFill="1" applyAlignment="1">
      <alignment horizontal="center"/>
    </xf>
    <xf numFmtId="0" fontId="27" fillId="7" borderId="0" xfId="0" applyFont="1" applyFill="1" applyAlignment="1">
      <alignment horizontal="center"/>
    </xf>
    <xf numFmtId="0" fontId="28" fillId="7" borderId="0" xfId="0" applyFont="1" applyFill="1"/>
    <xf numFmtId="0" fontId="29" fillId="7" borderId="0" xfId="0" applyFont="1" applyFill="1" applyAlignment="1">
      <alignment horizontal="center" vertical="center"/>
    </xf>
    <xf numFmtId="3" fontId="27" fillId="7" borderId="30" xfId="0" applyNumberFormat="1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3" fontId="32" fillId="7" borderId="5" xfId="0" applyNumberFormat="1" applyFont="1" applyFill="1" applyBorder="1" applyAlignment="1">
      <alignment vertical="center"/>
    </xf>
    <xf numFmtId="3" fontId="27" fillId="7" borderId="12" xfId="0" applyNumberFormat="1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/>
    </xf>
    <xf numFmtId="0" fontId="15" fillId="7" borderId="0" xfId="0" applyFont="1" applyFill="1" applyAlignment="1">
      <alignment vertical="center"/>
    </xf>
    <xf numFmtId="2" fontId="27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/>
    <xf numFmtId="3" fontId="27" fillId="7" borderId="1" xfId="0" quotePrefix="1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vertical="center"/>
    </xf>
    <xf numFmtId="14" fontId="27" fillId="7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0" fontId="9" fillId="7" borderId="0" xfId="0" applyFont="1" applyFill="1" applyAlignment="1">
      <alignment vertical="center"/>
    </xf>
    <xf numFmtId="3" fontId="15" fillId="7" borderId="0" xfId="0" applyNumberFormat="1" applyFont="1" applyFill="1" applyAlignment="1">
      <alignment vertical="center"/>
    </xf>
    <xf numFmtId="169" fontId="15" fillId="7" borderId="0" xfId="0" applyNumberFormat="1" applyFont="1" applyFill="1" applyAlignment="1">
      <alignment vertical="center"/>
    </xf>
    <xf numFmtId="4" fontId="15" fillId="7" borderId="0" xfId="0" applyNumberFormat="1" applyFont="1" applyFill="1" applyAlignment="1">
      <alignment vertical="center"/>
    </xf>
    <xf numFmtId="0" fontId="29" fillId="7" borderId="0" xfId="0" applyFont="1" applyFill="1" applyAlignment="1">
      <alignment horizontal="center"/>
    </xf>
    <xf numFmtId="3" fontId="34" fillId="7" borderId="5" xfId="0" applyNumberFormat="1" applyFont="1" applyFill="1" applyBorder="1" applyAlignment="1">
      <alignment vertical="center"/>
    </xf>
    <xf numFmtId="169" fontId="15" fillId="7" borderId="0" xfId="0" applyNumberFormat="1" applyFont="1" applyFill="1"/>
    <xf numFmtId="0" fontId="15" fillId="3" borderId="0" xfId="0" applyFont="1" applyFill="1" applyAlignment="1">
      <alignment horizontal="center" vertical="center"/>
    </xf>
    <xf numFmtId="3" fontId="2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0" borderId="0" xfId="0" applyFont="1" applyAlignment="1">
      <alignment vertical="center"/>
    </xf>
    <xf numFmtId="0" fontId="27" fillId="7" borderId="0" xfId="0" applyFont="1" applyFill="1" applyAlignment="1">
      <alignment horizontal="right" vertical="center"/>
    </xf>
    <xf numFmtId="0" fontId="27" fillId="7" borderId="0" xfId="0" applyFont="1" applyFill="1" applyAlignment="1">
      <alignment vertical="center"/>
    </xf>
    <xf numFmtId="0" fontId="36" fillId="7" borderId="0" xfId="0" applyFont="1" applyFill="1" applyAlignment="1">
      <alignment vertical="center"/>
    </xf>
    <xf numFmtId="3" fontId="13" fillId="7" borderId="0" xfId="0" applyNumberFormat="1" applyFont="1" applyFill="1" applyAlignment="1">
      <alignment horizontal="center" vertical="center"/>
    </xf>
    <xf numFmtId="0" fontId="37" fillId="7" borderId="0" xfId="0" applyFont="1" applyFill="1" applyAlignment="1">
      <alignment vertical="center"/>
    </xf>
    <xf numFmtId="0" fontId="32" fillId="7" borderId="0" xfId="0" applyFont="1" applyFill="1" applyAlignment="1">
      <alignment vertical="center"/>
    </xf>
    <xf numFmtId="0" fontId="27" fillId="7" borderId="0" xfId="0" applyFont="1" applyFill="1"/>
    <xf numFmtId="0" fontId="29" fillId="7" borderId="0" xfId="0" applyFont="1" applyFill="1"/>
    <xf numFmtId="0" fontId="15" fillId="0" borderId="4" xfId="0" applyFont="1" applyFill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165" fontId="13" fillId="0" borderId="7" xfId="0" quotePrefix="1" applyNumberFormat="1" applyFont="1" applyBorder="1" applyAlignment="1">
      <alignment horizontal="right" vertical="center"/>
    </xf>
    <xf numFmtId="165" fontId="15" fillId="0" borderId="7" xfId="0" applyNumberFormat="1" applyFont="1" applyBorder="1" applyAlignment="1">
      <alignment horizontal="right" vertical="center"/>
    </xf>
    <xf numFmtId="165" fontId="15" fillId="0" borderId="7" xfId="0" applyNumberFormat="1" applyFont="1" applyBorder="1" applyAlignment="1">
      <alignment horizontal="left" vertical="center"/>
    </xf>
    <xf numFmtId="4" fontId="36" fillId="7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165" fontId="15" fillId="0" borderId="7" xfId="0" quotePrefix="1" applyNumberFormat="1" applyFont="1" applyBorder="1" applyAlignment="1">
      <alignment horizontal="right" vertical="center"/>
    </xf>
    <xf numFmtId="165" fontId="15" fillId="0" borderId="7" xfId="0" quotePrefix="1" applyNumberFormat="1" applyFont="1" applyBorder="1" applyAlignment="1">
      <alignment horizontal="left" vertical="center"/>
    </xf>
    <xf numFmtId="165" fontId="15" fillId="7" borderId="0" xfId="0" applyNumberFormat="1" applyFont="1" applyFill="1" applyAlignment="1">
      <alignment vertical="center"/>
    </xf>
    <xf numFmtId="0" fontId="15" fillId="0" borderId="0" xfId="0" applyFont="1"/>
    <xf numFmtId="165" fontId="16" fillId="0" borderId="7" xfId="0" quotePrefix="1" applyNumberFormat="1" applyFont="1" applyBorder="1" applyAlignment="1">
      <alignment horizontal="right" vertical="center"/>
    </xf>
    <xf numFmtId="0" fontId="13" fillId="7" borderId="0" xfId="0" applyFont="1" applyFill="1" applyAlignment="1">
      <alignment vertical="center"/>
    </xf>
    <xf numFmtId="0" fontId="13" fillId="7" borderId="0" xfId="0" applyFont="1" applyFill="1" applyAlignment="1">
      <alignment horizontal="center" vertical="center"/>
    </xf>
    <xf numFmtId="2" fontId="36" fillId="7" borderId="0" xfId="0" applyNumberFormat="1" applyFont="1" applyFill="1" applyAlignment="1">
      <alignment vertical="center"/>
    </xf>
    <xf numFmtId="0" fontId="15" fillId="7" borderId="0" xfId="0" applyFont="1" applyFill="1" applyAlignment="1">
      <alignment horizontal="right"/>
    </xf>
    <xf numFmtId="0" fontId="15" fillId="7" borderId="0" xfId="0" quotePrefix="1" applyFont="1" applyFill="1" applyAlignment="1">
      <alignment horizontal="right"/>
    </xf>
    <xf numFmtId="4" fontId="15" fillId="7" borderId="0" xfId="0" quotePrefix="1" applyNumberFormat="1" applyFont="1" applyFill="1" applyAlignment="1">
      <alignment horizontal="right" vertical="center"/>
    </xf>
    <xf numFmtId="0" fontId="34" fillId="0" borderId="4" xfId="0" applyFont="1" applyBorder="1" applyAlignment="1">
      <alignment vertical="center"/>
    </xf>
    <xf numFmtId="165" fontId="28" fillId="0" borderId="7" xfId="0" quotePrefix="1" applyNumberFormat="1" applyFont="1" applyBorder="1" applyAlignment="1">
      <alignment horizontal="right" vertical="center"/>
    </xf>
    <xf numFmtId="0" fontId="33" fillId="7" borderId="0" xfId="0" applyFont="1" applyFill="1" applyAlignment="1">
      <alignment vertical="center"/>
    </xf>
    <xf numFmtId="0" fontId="39" fillId="7" borderId="0" xfId="0" applyFont="1" applyFill="1" applyAlignment="1">
      <alignment vertical="center"/>
    </xf>
    <xf numFmtId="0" fontId="9" fillId="0" borderId="4" xfId="0" quotePrefix="1" applyFont="1" applyBorder="1" applyAlignment="1">
      <alignment vertical="center"/>
    </xf>
    <xf numFmtId="0" fontId="9" fillId="0" borderId="5" xfId="0" applyFont="1" applyBorder="1" applyAlignment="1">
      <alignment horizontal="left" vertical="center"/>
    </xf>
    <xf numFmtId="165" fontId="9" fillId="0" borderId="7" xfId="0" quotePrefix="1" applyNumberFormat="1" applyFont="1" applyBorder="1" applyAlignment="1">
      <alignment horizontal="right" vertical="center"/>
    </xf>
    <xf numFmtId="165" fontId="9" fillId="0" borderId="7" xfId="0" quotePrefix="1" applyNumberFormat="1" applyFont="1" applyBorder="1" applyAlignment="1">
      <alignment horizontal="left" vertical="center"/>
    </xf>
    <xf numFmtId="165" fontId="9" fillId="7" borderId="0" xfId="0" applyNumberFormat="1" applyFont="1" applyFill="1" applyAlignment="1">
      <alignment vertical="center"/>
    </xf>
    <xf numFmtId="4" fontId="9" fillId="7" borderId="0" xfId="0" applyNumberFormat="1" applyFont="1" applyFill="1"/>
    <xf numFmtId="0" fontId="9" fillId="0" borderId="0" xfId="0" applyFont="1"/>
    <xf numFmtId="165" fontId="15" fillId="0" borderId="12" xfId="0" quotePrefix="1" applyNumberFormat="1" applyFont="1" applyFill="1" applyBorder="1" applyAlignment="1">
      <alignment horizontal="left" vertical="center"/>
    </xf>
    <xf numFmtId="0" fontId="9" fillId="0" borderId="44" xfId="0" quotePrefix="1" applyFont="1" applyFill="1" applyBorder="1" applyAlignment="1">
      <alignment vertical="center"/>
    </xf>
    <xf numFmtId="0" fontId="9" fillId="0" borderId="11" xfId="0" applyFont="1" applyFill="1" applyBorder="1" applyAlignment="1">
      <alignment horizontal="left" vertical="center"/>
    </xf>
    <xf numFmtId="10" fontId="9" fillId="7" borderId="0" xfId="0" applyNumberFormat="1" applyFont="1" applyFill="1"/>
    <xf numFmtId="0" fontId="41" fillId="7" borderId="0" xfId="0" applyFont="1" applyFill="1" applyAlignment="1">
      <alignment vertical="center"/>
    </xf>
    <xf numFmtId="0" fontId="24" fillId="7" borderId="5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4" fontId="24" fillId="7" borderId="5" xfId="0" applyNumberFormat="1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32" fillId="7" borderId="0" xfId="0" applyFont="1" applyFill="1" applyAlignment="1">
      <alignment horizontal="right" vertical="center"/>
    </xf>
    <xf numFmtId="170" fontId="32" fillId="7" borderId="0" xfId="0" applyNumberFormat="1" applyFont="1" applyFill="1" applyAlignment="1">
      <alignment horizontal="right" vertical="center"/>
    </xf>
    <xf numFmtId="174" fontId="32" fillId="7" borderId="0" xfId="0" applyNumberFormat="1" applyFont="1" applyFill="1" applyAlignment="1">
      <alignment horizontal="center" vertical="center"/>
    </xf>
    <xf numFmtId="20" fontId="32" fillId="7" borderId="0" xfId="0" applyNumberFormat="1" applyFont="1" applyFill="1" applyAlignment="1">
      <alignment horizontal="center" vertical="center"/>
    </xf>
    <xf numFmtId="171" fontId="32" fillId="7" borderId="0" xfId="0" applyNumberFormat="1" applyFont="1" applyFill="1" applyAlignment="1">
      <alignment vertical="center"/>
    </xf>
    <xf numFmtId="172" fontId="32" fillId="7" borderId="0" xfId="0" applyNumberFormat="1" applyFont="1" applyFill="1" applyAlignment="1">
      <alignment vertical="center"/>
    </xf>
    <xf numFmtId="164" fontId="32" fillId="7" borderId="5" xfId="0" applyNumberFormat="1" applyFont="1" applyFill="1" applyBorder="1" applyAlignment="1">
      <alignment vertical="center"/>
    </xf>
    <xf numFmtId="1" fontId="32" fillId="7" borderId="5" xfId="0" applyNumberFormat="1" applyFont="1" applyFill="1" applyBorder="1" applyAlignment="1">
      <alignment vertical="center"/>
    </xf>
    <xf numFmtId="164" fontId="32" fillId="7" borderId="0" xfId="0" applyNumberFormat="1" applyFont="1" applyFill="1" applyAlignment="1">
      <alignment vertical="center"/>
    </xf>
    <xf numFmtId="165" fontId="38" fillId="7" borderId="0" xfId="0" applyNumberFormat="1" applyFont="1" applyFill="1" applyAlignment="1">
      <alignment vertical="center"/>
    </xf>
    <xf numFmtId="165" fontId="32" fillId="7" borderId="0" xfId="0" applyNumberFormat="1" applyFont="1" applyFill="1" applyAlignment="1">
      <alignment vertical="center"/>
    </xf>
    <xf numFmtId="164" fontId="13" fillId="7" borderId="0" xfId="0" applyNumberFormat="1" applyFont="1" applyFill="1" applyAlignment="1">
      <alignment vertical="center"/>
    </xf>
    <xf numFmtId="0" fontId="32" fillId="7" borderId="0" xfId="0" applyNumberFormat="1" applyFont="1" applyFill="1" applyAlignment="1">
      <alignment vertical="center"/>
    </xf>
    <xf numFmtId="169" fontId="32" fillId="7" borderId="0" xfId="0" applyNumberFormat="1" applyFont="1" applyFill="1" applyAlignment="1">
      <alignment vertical="center"/>
    </xf>
    <xf numFmtId="169" fontId="38" fillId="7" borderId="0" xfId="0" applyNumberFormat="1" applyFont="1" applyFill="1" applyAlignment="1">
      <alignment vertical="center"/>
    </xf>
    <xf numFmtId="4" fontId="32" fillId="7" borderId="0" xfId="0" applyNumberFormat="1" applyFont="1" applyFill="1" applyAlignment="1">
      <alignment vertical="center"/>
    </xf>
    <xf numFmtId="169" fontId="9" fillId="7" borderId="0" xfId="0" applyNumberFormat="1" applyFont="1" applyFill="1" applyAlignment="1">
      <alignment vertical="center"/>
    </xf>
    <xf numFmtId="0" fontId="32" fillId="3" borderId="0" xfId="0" applyFont="1" applyFill="1"/>
    <xf numFmtId="164" fontId="27" fillId="7" borderId="5" xfId="0" applyNumberFormat="1" applyFont="1" applyFill="1" applyBorder="1" applyAlignment="1">
      <alignment vertical="center"/>
    </xf>
    <xf numFmtId="3" fontId="27" fillId="7" borderId="5" xfId="0" applyNumberFormat="1" applyFont="1" applyFill="1" applyBorder="1" applyAlignment="1">
      <alignment vertical="center"/>
    </xf>
    <xf numFmtId="1" fontId="27" fillId="7" borderId="5" xfId="0" applyNumberFormat="1" applyFont="1" applyFill="1" applyBorder="1" applyAlignment="1">
      <alignment vertical="center"/>
    </xf>
    <xf numFmtId="1" fontId="32" fillId="7" borderId="0" xfId="0" applyNumberFormat="1" applyFont="1" applyFill="1" applyAlignment="1">
      <alignment vertical="center"/>
    </xf>
    <xf numFmtId="3" fontId="32" fillId="7" borderId="0" xfId="0" applyNumberFormat="1" applyFont="1" applyFill="1" applyAlignment="1">
      <alignment vertical="center"/>
    </xf>
    <xf numFmtId="0" fontId="32" fillId="7" borderId="0" xfId="0" applyFont="1" applyFill="1" applyAlignment="1">
      <alignment horizontal="center" vertical="center"/>
    </xf>
    <xf numFmtId="0" fontId="13" fillId="7" borderId="0" xfId="0" applyNumberFormat="1" applyFont="1" applyFill="1" applyAlignment="1">
      <alignment vertical="center"/>
    </xf>
    <xf numFmtId="170" fontId="32" fillId="7" borderId="0" xfId="0" applyNumberFormat="1" applyFont="1" applyFill="1" applyAlignment="1">
      <alignment vertical="center"/>
    </xf>
    <xf numFmtId="169" fontId="27" fillId="7" borderId="5" xfId="0" applyNumberFormat="1" applyFont="1" applyFill="1" applyBorder="1" applyAlignment="1">
      <alignment vertical="center"/>
    </xf>
    <xf numFmtId="0" fontId="24" fillId="7" borderId="0" xfId="0" applyFont="1" applyFill="1" applyAlignment="1">
      <alignment horizontal="right" vertical="center"/>
    </xf>
    <xf numFmtId="0" fontId="34" fillId="7" borderId="0" xfId="0" applyFont="1" applyFill="1" applyAlignment="1">
      <alignment horizontal="center" vertical="center"/>
    </xf>
    <xf numFmtId="170" fontId="34" fillId="7" borderId="0" xfId="0" applyNumberFormat="1" applyFont="1" applyFill="1" applyAlignment="1">
      <alignment vertical="center"/>
    </xf>
    <xf numFmtId="174" fontId="34" fillId="7" borderId="0" xfId="0" applyNumberFormat="1" applyFont="1" applyFill="1" applyAlignment="1">
      <alignment horizontal="center" vertical="center"/>
    </xf>
    <xf numFmtId="20" fontId="34" fillId="7" borderId="0" xfId="0" applyNumberFormat="1" applyFont="1" applyFill="1" applyAlignment="1">
      <alignment horizontal="center" vertical="center"/>
    </xf>
    <xf numFmtId="171" fontId="34" fillId="7" borderId="0" xfId="0" applyNumberFormat="1" applyFont="1" applyFill="1" applyAlignment="1">
      <alignment vertical="center"/>
    </xf>
    <xf numFmtId="172" fontId="34" fillId="7" borderId="0" xfId="0" applyNumberFormat="1" applyFont="1" applyFill="1" applyAlignment="1">
      <alignment vertical="center"/>
    </xf>
    <xf numFmtId="165" fontId="45" fillId="7" borderId="0" xfId="0" applyNumberFormat="1" applyFont="1" applyFill="1" applyAlignment="1">
      <alignment vertical="center"/>
    </xf>
    <xf numFmtId="165" fontId="34" fillId="7" borderId="0" xfId="0" applyNumberFormat="1" applyFont="1" applyFill="1" applyAlignment="1">
      <alignment vertical="center"/>
    </xf>
    <xf numFmtId="164" fontId="34" fillId="7" borderId="0" xfId="0" applyNumberFormat="1" applyFont="1" applyFill="1" applyAlignment="1">
      <alignment vertical="center"/>
    </xf>
    <xf numFmtId="3" fontId="34" fillId="7" borderId="0" xfId="0" applyNumberFormat="1" applyFont="1" applyFill="1" applyAlignment="1">
      <alignment vertical="center"/>
    </xf>
    <xf numFmtId="169" fontId="34" fillId="7" borderId="0" xfId="0" applyNumberFormat="1" applyFont="1" applyFill="1" applyAlignment="1">
      <alignment vertical="center"/>
    </xf>
    <xf numFmtId="169" fontId="45" fillId="7" borderId="0" xfId="0" applyNumberFormat="1" applyFont="1" applyFill="1" applyAlignment="1">
      <alignment vertical="center"/>
    </xf>
    <xf numFmtId="4" fontId="34" fillId="7" borderId="0" xfId="0" applyNumberFormat="1" applyFont="1" applyFill="1" applyAlignment="1">
      <alignment vertical="center"/>
    </xf>
    <xf numFmtId="0" fontId="34" fillId="3" borderId="0" xfId="0" applyFont="1" applyFill="1"/>
    <xf numFmtId="164" fontId="24" fillId="7" borderId="5" xfId="0" applyNumberFormat="1" applyFont="1" applyFill="1" applyBorder="1" applyAlignment="1">
      <alignment vertical="center"/>
    </xf>
    <xf numFmtId="0" fontId="34" fillId="7" borderId="0" xfId="0" applyFont="1" applyFill="1"/>
    <xf numFmtId="0" fontId="24" fillId="7" borderId="0" xfId="0" applyFont="1" applyFill="1" applyAlignment="1">
      <alignment horizontal="center" vertical="center"/>
    </xf>
    <xf numFmtId="164" fontId="24" fillId="7" borderId="0" xfId="0" applyNumberFormat="1" applyFont="1" applyFill="1" applyAlignment="1">
      <alignment vertical="center"/>
    </xf>
    <xf numFmtId="165" fontId="34" fillId="7" borderId="5" xfId="0" applyNumberFormat="1" applyFont="1" applyFill="1" applyBorder="1" applyAlignment="1">
      <alignment vertical="center"/>
    </xf>
    <xf numFmtId="3" fontId="24" fillId="7" borderId="0" xfId="0" applyNumberFormat="1" applyFont="1" applyFill="1" applyAlignment="1">
      <alignment horizontal="center" vertical="center"/>
    </xf>
    <xf numFmtId="169" fontId="24" fillId="7" borderId="5" xfId="0" applyNumberFormat="1" applyFont="1" applyFill="1" applyBorder="1" applyAlignment="1">
      <alignment horizontal="right"/>
    </xf>
    <xf numFmtId="169" fontId="10" fillId="7" borderId="5" xfId="0" applyNumberFormat="1" applyFont="1" applyFill="1" applyBorder="1" applyAlignment="1">
      <alignment horizontal="right"/>
    </xf>
    <xf numFmtId="0" fontId="10" fillId="7" borderId="5" xfId="0" applyFont="1" applyFill="1" applyBorder="1" applyAlignment="1">
      <alignment horizontal="right"/>
    </xf>
    <xf numFmtId="4" fontId="24" fillId="7" borderId="5" xfId="0" applyNumberFormat="1" applyFont="1" applyFill="1" applyBorder="1" applyAlignment="1">
      <alignment horizontal="right"/>
    </xf>
    <xf numFmtId="0" fontId="13" fillId="7" borderId="0" xfId="0" applyNumberFormat="1" applyFont="1" applyFill="1"/>
    <xf numFmtId="0" fontId="34" fillId="7" borderId="0" xfId="0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0" fontId="32" fillId="7" borderId="0" xfId="0" applyFont="1" applyFill="1" applyAlignment="1">
      <alignment horizontal="center"/>
    </xf>
    <xf numFmtId="0" fontId="15" fillId="8" borderId="0" xfId="0" applyFont="1" applyFill="1"/>
    <xf numFmtId="169" fontId="15" fillId="8" borderId="0" xfId="0" applyNumberFormat="1" applyFont="1" applyFill="1"/>
    <xf numFmtId="169" fontId="34" fillId="8" borderId="0" xfId="0" applyNumberFormat="1" applyFont="1" applyFill="1"/>
    <xf numFmtId="169" fontId="13" fillId="8" borderId="0" xfId="0" applyNumberFormat="1" applyFont="1" applyFill="1"/>
    <xf numFmtId="169" fontId="32" fillId="8" borderId="0" xfId="0" applyNumberFormat="1" applyFont="1" applyFill="1"/>
    <xf numFmtId="3" fontId="24" fillId="7" borderId="5" xfId="0" applyNumberFormat="1" applyFont="1" applyFill="1" applyBorder="1" applyAlignment="1">
      <alignment vertical="center"/>
    </xf>
    <xf numFmtId="3" fontId="24" fillId="7" borderId="0" xfId="0" applyNumberFormat="1" applyFont="1" applyFill="1" applyAlignment="1">
      <alignment vertical="center"/>
    </xf>
    <xf numFmtId="169" fontId="34" fillId="7" borderId="0" xfId="0" applyNumberFormat="1" applyFont="1" applyFill="1"/>
    <xf numFmtId="169" fontId="13" fillId="7" borderId="0" xfId="0" applyNumberFormat="1" applyFont="1" applyFill="1"/>
    <xf numFmtId="169" fontId="32" fillId="7" borderId="0" xfId="0" applyNumberFormat="1" applyFont="1" applyFill="1"/>
    <xf numFmtId="3" fontId="1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6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0" fontId="15" fillId="4" borderId="0" xfId="0" applyFont="1" applyFill="1"/>
    <xf numFmtId="165" fontId="15" fillId="7" borderId="0" xfId="0" applyNumberFormat="1" applyFont="1" applyFill="1"/>
    <xf numFmtId="165" fontId="13" fillId="7" borderId="0" xfId="0" applyNumberFormat="1" applyFont="1" applyFill="1"/>
    <xf numFmtId="0" fontId="46" fillId="7" borderId="0" xfId="1" applyFont="1" applyFill="1" applyAlignment="1">
      <alignment horizontal="center"/>
    </xf>
    <xf numFmtId="0" fontId="47" fillId="7" borderId="5" xfId="0" applyFont="1" applyFill="1" applyBorder="1" applyAlignment="1">
      <alignment horizontal="center" vertical="center"/>
    </xf>
    <xf numFmtId="0" fontId="47" fillId="7" borderId="5" xfId="0" applyFont="1" applyFill="1" applyBorder="1" applyAlignment="1">
      <alignment horizontal="center" vertical="center" wrapText="1"/>
    </xf>
    <xf numFmtId="0" fontId="48" fillId="7" borderId="5" xfId="0" applyFont="1" applyFill="1" applyBorder="1" applyAlignment="1">
      <alignment horizontal="center" vertical="center"/>
    </xf>
    <xf numFmtId="0" fontId="49" fillId="7" borderId="5" xfId="0" applyFont="1" applyFill="1" applyBorder="1" applyAlignment="1">
      <alignment horizontal="center" vertical="center"/>
    </xf>
    <xf numFmtId="0" fontId="47" fillId="7" borderId="16" xfId="0" applyFont="1" applyFill="1" applyBorder="1" applyAlignment="1">
      <alignment horizontal="center" vertical="center"/>
    </xf>
    <xf numFmtId="0" fontId="47" fillId="7" borderId="0" xfId="0" applyFont="1" applyFill="1"/>
    <xf numFmtId="164" fontId="47" fillId="7" borderId="0" xfId="0" applyNumberFormat="1" applyFont="1" applyFill="1"/>
    <xf numFmtId="164" fontId="50" fillId="7" borderId="0" xfId="0" applyNumberFormat="1" applyFont="1" applyFill="1"/>
    <xf numFmtId="164" fontId="51" fillId="7" borderId="0" xfId="0" applyNumberFormat="1" applyFont="1" applyFill="1"/>
    <xf numFmtId="164" fontId="52" fillId="7" borderId="0" xfId="0" applyNumberFormat="1" applyFont="1" applyFill="1"/>
    <xf numFmtId="164" fontId="53" fillId="7" borderId="0" xfId="0" applyNumberFormat="1" applyFont="1" applyFill="1"/>
    <xf numFmtId="0" fontId="53" fillId="7" borderId="0" xfId="0" applyFont="1" applyFill="1"/>
    <xf numFmtId="0" fontId="47" fillId="0" borderId="5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0" fontId="55" fillId="0" borderId="50" xfId="0" applyFont="1" applyBorder="1" applyAlignment="1">
      <alignment horizontal="center" vertical="center"/>
    </xf>
    <xf numFmtId="0" fontId="9" fillId="0" borderId="59" xfId="0" quotePrefix="1" applyFont="1" applyFill="1" applyBorder="1" applyAlignment="1">
      <alignment vertical="center"/>
    </xf>
    <xf numFmtId="0" fontId="9" fillId="0" borderId="5" xfId="0" applyFont="1" applyFill="1" applyBorder="1" applyAlignment="1">
      <alignment horizontal="left" vertical="center"/>
    </xf>
    <xf numFmtId="0" fontId="47" fillId="0" borderId="4" xfId="0" applyFont="1" applyFill="1" applyBorder="1" applyAlignment="1">
      <alignment horizontal="center" vertical="center"/>
    </xf>
    <xf numFmtId="0" fontId="54" fillId="0" borderId="50" xfId="0" applyFont="1" applyBorder="1" applyAlignment="1">
      <alignment horizontal="center" vertical="center"/>
    </xf>
    <xf numFmtId="0" fontId="13" fillId="7" borderId="0" xfId="0" applyNumberFormat="1" applyFont="1" applyFill="1" applyAlignment="1">
      <alignment horizontal="center" vertical="center"/>
    </xf>
    <xf numFmtId="0" fontId="15" fillId="0" borderId="7" xfId="0" applyNumberFormat="1" applyFont="1" applyBorder="1" applyAlignment="1">
      <alignment horizontal="right" vertical="center"/>
    </xf>
    <xf numFmtId="0" fontId="15" fillId="0" borderId="7" xfId="0" quotePrefix="1" applyNumberFormat="1" applyFont="1" applyBorder="1" applyAlignment="1">
      <alignment horizontal="right" vertical="center"/>
    </xf>
    <xf numFmtId="0" fontId="9" fillId="0" borderId="7" xfId="0" quotePrefix="1" applyNumberFormat="1" applyFont="1" applyBorder="1" applyAlignment="1">
      <alignment horizontal="right" vertical="center"/>
    </xf>
    <xf numFmtId="0" fontId="15" fillId="0" borderId="0" xfId="0" applyNumberFormat="1" applyFont="1" applyAlignment="1">
      <alignment horizontal="right"/>
    </xf>
    <xf numFmtId="165" fontId="28" fillId="0" borderId="12" xfId="0" quotePrefix="1" applyNumberFormat="1" applyFont="1" applyBorder="1" applyAlignment="1">
      <alignment horizontal="right" vertical="center"/>
    </xf>
    <xf numFmtId="165" fontId="9" fillId="0" borderId="12" xfId="0" quotePrefix="1" applyNumberFormat="1" applyFont="1" applyBorder="1" applyAlignment="1">
      <alignment horizontal="right" vertical="center"/>
    </xf>
    <xf numFmtId="0" fontId="9" fillId="0" borderId="12" xfId="0" quotePrefix="1" applyNumberFormat="1" applyFont="1" applyBorder="1" applyAlignment="1">
      <alignment horizontal="right" vertical="center"/>
    </xf>
    <xf numFmtId="3" fontId="32" fillId="7" borderId="54" xfId="0" applyNumberFormat="1" applyFont="1" applyFill="1" applyBorder="1" applyAlignment="1">
      <alignment vertical="center"/>
    </xf>
    <xf numFmtId="3" fontId="34" fillId="7" borderId="54" xfId="0" applyNumberFormat="1" applyFont="1" applyFill="1" applyBorder="1" applyAlignment="1">
      <alignment vertical="center"/>
    </xf>
    <xf numFmtId="0" fontId="32" fillId="7" borderId="55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4" fontId="32" fillId="7" borderId="54" xfId="0" applyNumberFormat="1" applyFont="1" applyFill="1" applyBorder="1" applyAlignment="1">
      <alignment vertical="center"/>
    </xf>
    <xf numFmtId="4" fontId="34" fillId="7" borderId="54" xfId="0" applyNumberFormat="1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53" xfId="0" applyFont="1" applyFill="1" applyBorder="1" applyAlignment="1">
      <alignment horizontal="center" vertical="center"/>
    </xf>
    <xf numFmtId="3" fontId="24" fillId="7" borderId="5" xfId="0" applyNumberFormat="1" applyFont="1" applyFill="1" applyBorder="1"/>
    <xf numFmtId="1" fontId="34" fillId="9" borderId="5" xfId="0" applyNumberFormat="1" applyFont="1" applyFill="1" applyBorder="1" applyAlignment="1">
      <alignment vertical="center"/>
    </xf>
    <xf numFmtId="0" fontId="15" fillId="10" borderId="0" xfId="0" applyFont="1" applyFill="1"/>
    <xf numFmtId="4" fontId="19" fillId="10" borderId="0" xfId="0" applyNumberFormat="1" applyFont="1" applyFill="1" applyAlignment="1">
      <alignment horizontal="center" vertical="center" wrapText="1"/>
    </xf>
    <xf numFmtId="4" fontId="19" fillId="10" borderId="0" xfId="0" applyNumberFormat="1" applyFont="1" applyFill="1" applyAlignment="1">
      <alignment horizontal="center" vertical="center"/>
    </xf>
    <xf numFmtId="0" fontId="26" fillId="10" borderId="0" xfId="0" applyFont="1" applyFill="1"/>
    <xf numFmtId="4" fontId="16" fillId="10" borderId="0" xfId="0" quotePrefix="1" applyNumberFormat="1" applyFont="1" applyFill="1" applyAlignment="1">
      <alignment horizontal="center" vertical="center" wrapText="1"/>
    </xf>
    <xf numFmtId="165" fontId="25" fillId="10" borderId="33" xfId="0" applyNumberFormat="1" applyFont="1" applyFill="1" applyBorder="1" applyAlignment="1">
      <alignment horizontal="center" vertical="center" wrapText="1"/>
    </xf>
    <xf numFmtId="165" fontId="25" fillId="10" borderId="35" xfId="0" applyNumberFormat="1" applyFont="1" applyFill="1" applyBorder="1" applyAlignment="1">
      <alignment horizontal="center" vertical="center" wrapText="1"/>
    </xf>
    <xf numFmtId="0" fontId="15" fillId="10" borderId="0" xfId="0" applyFont="1" applyFill="1" applyAlignment="1">
      <alignment vertical="center"/>
    </xf>
    <xf numFmtId="0" fontId="8" fillId="10" borderId="0" xfId="0" applyFont="1" applyFill="1" applyAlignment="1">
      <alignment horizontal="left" wrapText="1"/>
    </xf>
    <xf numFmtId="4" fontId="59" fillId="10" borderId="34" xfId="0" applyNumberFormat="1" applyFont="1" applyFill="1" applyBorder="1" applyAlignment="1">
      <alignment horizontal="center" vertical="center"/>
    </xf>
    <xf numFmtId="0" fontId="29" fillId="10" borderId="49" xfId="0" applyFont="1" applyFill="1" applyBorder="1" applyAlignment="1"/>
    <xf numFmtId="0" fontId="15" fillId="10" borderId="0" xfId="0" applyFont="1" applyFill="1" applyAlignment="1">
      <alignment horizontal="center" vertical="center"/>
    </xf>
    <xf numFmtId="0" fontId="36" fillId="10" borderId="0" xfId="0" applyFont="1" applyFill="1" applyAlignment="1">
      <alignment vertical="center"/>
    </xf>
    <xf numFmtId="0" fontId="9" fillId="10" borderId="0" xfId="0" applyFont="1" applyFill="1"/>
    <xf numFmtId="0" fontId="10" fillId="10" borderId="0" xfId="0" applyFont="1" applyFill="1"/>
    <xf numFmtId="3" fontId="13" fillId="10" borderId="0" xfId="0" applyNumberFormat="1" applyFont="1" applyFill="1" applyAlignment="1">
      <alignment horizontal="center"/>
    </xf>
    <xf numFmtId="3" fontId="24" fillId="10" borderId="0" xfId="0" applyNumberFormat="1" applyFont="1" applyFill="1" applyAlignment="1">
      <alignment horizontal="center"/>
    </xf>
    <xf numFmtId="14" fontId="32" fillId="10" borderId="0" xfId="0" applyNumberFormat="1" applyFont="1" applyFill="1" applyAlignment="1">
      <alignment horizontal="center"/>
    </xf>
    <xf numFmtId="14" fontId="34" fillId="10" borderId="0" xfId="0" applyNumberFormat="1" applyFont="1" applyFill="1" applyAlignment="1">
      <alignment horizontal="center"/>
    </xf>
    <xf numFmtId="0" fontId="34" fillId="10" borderId="0" xfId="0" applyFont="1" applyFill="1"/>
    <xf numFmtId="4" fontId="16" fillId="10" borderId="0" xfId="0" applyNumberFormat="1" applyFont="1" applyFill="1" applyAlignment="1">
      <alignment horizontal="center" vertical="center"/>
    </xf>
    <xf numFmtId="0" fontId="29" fillId="10" borderId="48" xfId="0" applyFont="1" applyFill="1" applyBorder="1" applyAlignment="1">
      <alignment horizontal="left"/>
    </xf>
    <xf numFmtId="0" fontId="27" fillId="10" borderId="0" xfId="0" applyFont="1" applyFill="1" applyAlignment="1">
      <alignment horizontal="center"/>
    </xf>
    <xf numFmtId="165" fontId="16" fillId="10" borderId="0" xfId="0" applyNumberFormat="1" applyFont="1" applyFill="1" applyAlignment="1">
      <alignment horizontal="right"/>
    </xf>
    <xf numFmtId="165" fontId="15" fillId="10" borderId="0" xfId="0" applyNumberFormat="1" applyFont="1" applyFill="1" applyAlignment="1">
      <alignment horizontal="right"/>
    </xf>
    <xf numFmtId="0" fontId="15" fillId="10" borderId="0" xfId="0" applyNumberFormat="1" applyFont="1" applyFill="1" applyAlignment="1">
      <alignment horizontal="right"/>
    </xf>
    <xf numFmtId="0" fontId="24" fillId="10" borderId="0" xfId="0" applyFont="1" applyFill="1" applyAlignment="1">
      <alignment horizontal="center"/>
    </xf>
    <xf numFmtId="0" fontId="32" fillId="10" borderId="0" xfId="0" applyFont="1" applyFill="1"/>
    <xf numFmtId="165" fontId="29" fillId="10" borderId="0" xfId="0" applyNumberFormat="1" applyFont="1" applyFill="1" applyAlignment="1">
      <alignment horizontal="center" vertical="center" wrapText="1"/>
    </xf>
    <xf numFmtId="165" fontId="15" fillId="10" borderId="0" xfId="0" applyNumberFormat="1" applyFont="1" applyFill="1" applyAlignment="1">
      <alignment horizontal="center"/>
    </xf>
    <xf numFmtId="165" fontId="15" fillId="10" borderId="0" xfId="0" applyNumberFormat="1" applyFont="1" applyFill="1" applyAlignment="1">
      <alignment horizontal="center" vertical="center"/>
    </xf>
    <xf numFmtId="0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/>
    </xf>
    <xf numFmtId="164" fontId="15" fillId="10" borderId="0" xfId="0" applyNumberFormat="1" applyFont="1" applyFill="1" applyAlignment="1">
      <alignment horizontal="center"/>
    </xf>
    <xf numFmtId="165" fontId="15" fillId="10" borderId="0" xfId="0" applyNumberFormat="1" applyFont="1" applyFill="1" applyAlignment="1">
      <alignment horizontal="left"/>
    </xf>
    <xf numFmtId="3" fontId="16" fillId="10" borderId="0" xfId="0" applyNumberFormat="1" applyFont="1" applyFill="1" applyAlignment="1">
      <alignment horizontal="center" vertical="center"/>
    </xf>
    <xf numFmtId="164" fontId="29" fillId="10" borderId="0" xfId="0" applyNumberFormat="1" applyFont="1" applyFill="1" applyAlignment="1">
      <alignment vertical="center"/>
    </xf>
    <xf numFmtId="164" fontId="15" fillId="10" borderId="0" xfId="0" applyNumberFormat="1" applyFont="1" applyFill="1" applyAlignment="1">
      <alignment horizontal="center" vertical="center"/>
    </xf>
    <xf numFmtId="165" fontId="16" fillId="10" borderId="0" xfId="0" applyNumberFormat="1" applyFont="1" applyFill="1" applyAlignment="1">
      <alignment horizontal="right" vertical="center"/>
    </xf>
    <xf numFmtId="165" fontId="29" fillId="10" borderId="0" xfId="0" applyNumberFormat="1" applyFont="1" applyFill="1" applyAlignment="1">
      <alignment horizontal="right" vertical="center"/>
    </xf>
    <xf numFmtId="0" fontId="29" fillId="10" borderId="0" xfId="0" applyNumberFormat="1" applyFont="1" applyFill="1" applyAlignment="1">
      <alignment horizontal="right" vertical="center"/>
    </xf>
    <xf numFmtId="165" fontId="8" fillId="10" borderId="0" xfId="0" applyNumberFormat="1" applyFont="1" applyFill="1" applyAlignment="1">
      <alignment horizontal="right"/>
    </xf>
    <xf numFmtId="165" fontId="9" fillId="10" borderId="0" xfId="0" applyNumberFormat="1" applyFont="1" applyFill="1" applyAlignment="1">
      <alignment horizontal="right"/>
    </xf>
    <xf numFmtId="0" fontId="9" fillId="10" borderId="0" xfId="0" applyNumberFormat="1" applyFont="1" applyFill="1" applyAlignment="1">
      <alignment horizontal="right"/>
    </xf>
    <xf numFmtId="165" fontId="15" fillId="10" borderId="0" xfId="0" applyNumberFormat="1" applyFont="1" applyFill="1"/>
    <xf numFmtId="167" fontId="15" fillId="10" borderId="0" xfId="0" applyNumberFormat="1" applyFont="1" applyFill="1"/>
    <xf numFmtId="0" fontId="15" fillId="10" borderId="0" xfId="0" applyNumberFormat="1" applyFont="1" applyFill="1"/>
    <xf numFmtId="168" fontId="15" fillId="10" borderId="0" xfId="0" applyNumberFormat="1" applyFont="1" applyFill="1"/>
    <xf numFmtId="167" fontId="10" fillId="10" borderId="0" xfId="0" applyNumberFormat="1" applyFont="1" applyFill="1" applyAlignment="1">
      <alignment horizontal="center"/>
    </xf>
    <xf numFmtId="0" fontId="24" fillId="10" borderId="0" xfId="0" applyNumberFormat="1" applyFont="1" applyFill="1" applyAlignment="1">
      <alignment horizontal="center"/>
    </xf>
    <xf numFmtId="169" fontId="38" fillId="10" borderId="0" xfId="0" applyNumberFormat="1" applyFont="1" applyFill="1" applyAlignment="1">
      <alignment horizontal="center"/>
    </xf>
    <xf numFmtId="0" fontId="32" fillId="10" borderId="0" xfId="0" applyNumberFormat="1" applyFont="1" applyFill="1"/>
    <xf numFmtId="168" fontId="32" fillId="10" borderId="0" xfId="0" applyNumberFormat="1" applyFont="1" applyFill="1"/>
    <xf numFmtId="169" fontId="44" fillId="10" borderId="0" xfId="0" applyNumberFormat="1" applyFont="1" applyFill="1" applyAlignment="1">
      <alignment horizontal="center"/>
    </xf>
    <xf numFmtId="0" fontId="34" fillId="10" borderId="0" xfId="0" applyNumberFormat="1" applyFont="1" applyFill="1"/>
    <xf numFmtId="0" fontId="34" fillId="10" borderId="0" xfId="0" applyFont="1" applyFill="1" applyAlignment="1">
      <alignment horizontal="center"/>
    </xf>
    <xf numFmtId="3" fontId="13" fillId="10" borderId="0" xfId="0" applyNumberFormat="1" applyFont="1" applyFill="1" applyAlignment="1">
      <alignment horizontal="left"/>
    </xf>
    <xf numFmtId="164" fontId="16" fillId="10" borderId="0" xfId="0" applyNumberFormat="1" applyFont="1" applyFill="1" applyAlignment="1">
      <alignment horizontal="right"/>
    </xf>
    <xf numFmtId="3" fontId="24" fillId="10" borderId="0" xfId="0" applyNumberFormat="1" applyFont="1" applyFill="1" applyAlignment="1">
      <alignment horizontal="left"/>
    </xf>
    <xf numFmtId="166" fontId="24" fillId="10" borderId="0" xfId="0" applyNumberFormat="1" applyFont="1" applyFill="1" applyAlignment="1">
      <alignment horizontal="center"/>
    </xf>
    <xf numFmtId="164" fontId="27" fillId="10" borderId="0" xfId="0" applyNumberFormat="1" applyFont="1" applyFill="1" applyAlignment="1">
      <alignment horizontal="right"/>
    </xf>
    <xf numFmtId="164" fontId="32" fillId="10" borderId="0" xfId="0" applyNumberFormat="1" applyFont="1" applyFill="1" applyAlignment="1">
      <alignment horizontal="right"/>
    </xf>
    <xf numFmtId="169" fontId="32" fillId="10" borderId="0" xfId="0" applyNumberFormat="1" applyFont="1" applyFill="1" applyAlignment="1">
      <alignment horizontal="center"/>
    </xf>
    <xf numFmtId="164" fontId="32" fillId="10" borderId="0" xfId="0" applyNumberFormat="1" applyFont="1" applyFill="1"/>
    <xf numFmtId="164" fontId="40" fillId="10" borderId="0" xfId="0" applyNumberFormat="1" applyFont="1" applyFill="1" applyAlignment="1">
      <alignment horizontal="right"/>
    </xf>
    <xf numFmtId="164" fontId="13" fillId="10" borderId="0" xfId="0" applyNumberFormat="1" applyFont="1" applyFill="1" applyAlignment="1">
      <alignment horizontal="right"/>
    </xf>
    <xf numFmtId="164" fontId="42" fillId="10" borderId="0" xfId="0" applyNumberFormat="1" applyFont="1" applyFill="1"/>
    <xf numFmtId="169" fontId="43" fillId="10" borderId="0" xfId="0" applyNumberFormat="1" applyFont="1" applyFill="1" applyAlignment="1">
      <alignment horizontal="center"/>
    </xf>
    <xf numFmtId="3" fontId="34" fillId="10" borderId="0" xfId="0" applyNumberFormat="1" applyFont="1" applyFill="1" applyAlignment="1">
      <alignment horizontal="center"/>
    </xf>
    <xf numFmtId="3" fontId="13" fillId="10" borderId="1" xfId="0" applyNumberFormat="1" applyFont="1" applyFill="1" applyBorder="1" applyAlignment="1">
      <alignment horizontal="center"/>
    </xf>
    <xf numFmtId="0" fontId="24" fillId="11" borderId="2" xfId="0" applyFont="1" applyFill="1" applyBorder="1" applyAlignment="1">
      <alignment horizontal="center" vertical="center" wrapText="1"/>
    </xf>
    <xf numFmtId="0" fontId="29" fillId="11" borderId="2" xfId="0" applyFont="1" applyFill="1" applyBorder="1" applyAlignment="1">
      <alignment horizontal="center" vertical="center" wrapText="1"/>
    </xf>
    <xf numFmtId="0" fontId="24" fillId="11" borderId="45" xfId="0" applyFont="1" applyFill="1" applyBorder="1" applyAlignment="1">
      <alignment horizontal="center" vertical="center" wrapText="1"/>
    </xf>
    <xf numFmtId="0" fontId="15" fillId="11" borderId="32" xfId="0" applyFont="1" applyFill="1" applyBorder="1" applyAlignment="1">
      <alignment horizontal="center"/>
    </xf>
    <xf numFmtId="0" fontId="15" fillId="11" borderId="52" xfId="0" applyFont="1" applyFill="1" applyBorder="1" applyAlignment="1">
      <alignment horizontal="center"/>
    </xf>
    <xf numFmtId="0" fontId="24" fillId="11" borderId="5" xfId="0" applyFont="1" applyFill="1" applyBorder="1" applyAlignment="1">
      <alignment horizontal="right" vertical="center"/>
    </xf>
    <xf numFmtId="0" fontId="11" fillId="11" borderId="5" xfId="0" applyFont="1" applyFill="1" applyBorder="1" applyAlignment="1">
      <alignment horizontal="center" vertical="center"/>
    </xf>
    <xf numFmtId="0" fontId="11" fillId="11" borderId="31" xfId="0" applyFont="1" applyFill="1" applyBorder="1" applyAlignment="1">
      <alignment horizontal="center" vertical="center"/>
    </xf>
    <xf numFmtId="164" fontId="29" fillId="11" borderId="4" xfId="0" applyNumberFormat="1" applyFont="1" applyFill="1" applyBorder="1" applyAlignment="1">
      <alignment horizontal="center" vertical="center"/>
    </xf>
    <xf numFmtId="164" fontId="29" fillId="11" borderId="5" xfId="0" applyNumberFormat="1" applyFont="1" applyFill="1" applyBorder="1" applyAlignment="1">
      <alignment horizontal="center" vertical="center"/>
    </xf>
    <xf numFmtId="164" fontId="29" fillId="11" borderId="6" xfId="0" applyNumberFormat="1" applyFont="1" applyFill="1" applyBorder="1" applyAlignment="1">
      <alignment horizontal="center" vertical="center"/>
    </xf>
    <xf numFmtId="0" fontId="16" fillId="11" borderId="3" xfId="0" applyFont="1" applyFill="1" applyBorder="1" applyAlignment="1">
      <alignment horizontal="center" vertical="center" wrapText="1"/>
    </xf>
    <xf numFmtId="0" fontId="29" fillId="11" borderId="4" xfId="0" applyFont="1" applyFill="1" applyBorder="1" applyAlignment="1">
      <alignment horizontal="center" vertical="center"/>
    </xf>
    <xf numFmtId="0" fontId="29" fillId="11" borderId="5" xfId="0" applyFont="1" applyFill="1" applyBorder="1" applyAlignment="1">
      <alignment horizontal="center" vertical="center"/>
    </xf>
    <xf numFmtId="165" fontId="16" fillId="11" borderId="7" xfId="0" applyNumberFormat="1" applyFont="1" applyFill="1" applyBorder="1" applyAlignment="1">
      <alignment horizontal="center" vertical="center" wrapText="1"/>
    </xf>
    <xf numFmtId="165" fontId="29" fillId="11" borderId="7" xfId="0" applyNumberFormat="1" applyFont="1" applyFill="1" applyBorder="1" applyAlignment="1">
      <alignment horizontal="center" vertical="center" wrapText="1"/>
    </xf>
    <xf numFmtId="0" fontId="29" fillId="11" borderId="7" xfId="0" applyNumberFormat="1" applyFont="1" applyFill="1" applyBorder="1" applyAlignment="1">
      <alignment horizontal="center" vertical="center" wrapText="1"/>
    </xf>
    <xf numFmtId="0" fontId="54" fillId="3" borderId="8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vertical="center"/>
    </xf>
    <xf numFmtId="0" fontId="15" fillId="3" borderId="5" xfId="0" applyFont="1" applyFill="1" applyBorder="1" applyAlignment="1">
      <alignment horizontal="left" vertical="center"/>
    </xf>
    <xf numFmtId="0" fontId="47" fillId="3" borderId="60" xfId="0" applyFont="1" applyFill="1" applyBorder="1" applyAlignment="1">
      <alignment horizontal="center" vertical="center"/>
    </xf>
    <xf numFmtId="0" fontId="47" fillId="3" borderId="61" xfId="0" applyFont="1" applyFill="1" applyBorder="1" applyAlignment="1">
      <alignment horizontal="center" vertical="center"/>
    </xf>
    <xf numFmtId="165" fontId="13" fillId="3" borderId="62" xfId="0" quotePrefix="1" applyNumberFormat="1" applyFont="1" applyFill="1" applyBorder="1" applyAlignment="1">
      <alignment horizontal="right" vertical="center"/>
    </xf>
    <xf numFmtId="165" fontId="15" fillId="3" borderId="62" xfId="0" quotePrefix="1" applyNumberFormat="1" applyFont="1" applyFill="1" applyBorder="1" applyAlignment="1">
      <alignment horizontal="right" vertical="center"/>
    </xf>
    <xf numFmtId="0" fontId="15" fillId="3" borderId="62" xfId="0" quotePrefix="1" applyNumberFormat="1" applyFont="1" applyFill="1" applyBorder="1" applyAlignment="1">
      <alignment horizontal="right" vertical="center"/>
    </xf>
    <xf numFmtId="165" fontId="13" fillId="3" borderId="62" xfId="0" applyNumberFormat="1" applyFont="1" applyFill="1" applyBorder="1" applyAlignment="1">
      <alignment horizontal="left" vertical="center"/>
    </xf>
    <xf numFmtId="0" fontId="10" fillId="11" borderId="5" xfId="0" applyFont="1" applyFill="1" applyBorder="1" applyAlignment="1">
      <alignment horizontal="right" vertical="center"/>
    </xf>
    <xf numFmtId="3" fontId="24" fillId="11" borderId="21" xfId="0" applyNumberFormat="1" applyFont="1" applyFill="1" applyBorder="1" applyAlignment="1">
      <alignment horizontal="center" vertical="center"/>
    </xf>
    <xf numFmtId="164" fontId="29" fillId="11" borderId="28" xfId="0" applyNumberFormat="1" applyFont="1" applyFill="1" applyBorder="1" applyAlignment="1">
      <alignment vertical="center"/>
    </xf>
    <xf numFmtId="164" fontId="29" fillId="11" borderId="29" xfId="0" applyNumberFormat="1" applyFont="1" applyFill="1" applyBorder="1" applyAlignment="1">
      <alignment horizontal="center" vertical="center"/>
    </xf>
    <xf numFmtId="164" fontId="29" fillId="11" borderId="28" xfId="0" applyNumberFormat="1" applyFont="1" applyFill="1" applyBorder="1" applyAlignment="1">
      <alignment horizontal="center" vertical="center"/>
    </xf>
    <xf numFmtId="164" fontId="29" fillId="11" borderId="46" xfId="0" applyNumberFormat="1" applyFont="1" applyFill="1" applyBorder="1" applyAlignment="1">
      <alignment horizontal="center" vertical="center"/>
    </xf>
    <xf numFmtId="165" fontId="16" fillId="11" borderId="27" xfId="0" applyNumberFormat="1" applyFont="1" applyFill="1" applyBorder="1" applyAlignment="1">
      <alignment horizontal="right" vertical="center"/>
    </xf>
    <xf numFmtId="165" fontId="29" fillId="11" borderId="1" xfId="0" applyNumberFormat="1" applyFont="1" applyFill="1" applyBorder="1" applyAlignment="1">
      <alignment horizontal="right" vertical="center"/>
    </xf>
    <xf numFmtId="0" fontId="29" fillId="11" borderId="1" xfId="0" applyNumberFormat="1" applyFont="1" applyFill="1" applyBorder="1" applyAlignment="1">
      <alignment horizontal="right" vertical="center"/>
    </xf>
    <xf numFmtId="165" fontId="29" fillId="11" borderId="1" xfId="0" applyNumberFormat="1" applyFont="1" applyFill="1" applyBorder="1" applyAlignment="1">
      <alignment horizontal="left" vertical="center"/>
    </xf>
    <xf numFmtId="164" fontId="29" fillId="11" borderId="56" xfId="0" applyNumberFormat="1" applyFont="1" applyFill="1" applyBorder="1" applyAlignment="1">
      <alignment horizontal="left" vertical="center"/>
    </xf>
    <xf numFmtId="164" fontId="29" fillId="11" borderId="14" xfId="0" applyNumberFormat="1" applyFont="1" applyFill="1" applyBorder="1" applyAlignment="1">
      <alignment horizontal="left" vertical="center"/>
    </xf>
    <xf numFmtId="164" fontId="13" fillId="11" borderId="14" xfId="0" applyNumberFormat="1" applyFont="1" applyFill="1" applyBorder="1" applyAlignment="1">
      <alignment horizontal="center" vertical="center"/>
    </xf>
    <xf numFmtId="164" fontId="34" fillId="11" borderId="5" xfId="0" applyNumberFormat="1" applyFont="1" applyFill="1" applyBorder="1" applyAlignment="1">
      <alignment horizontal="center" vertical="center"/>
    </xf>
    <xf numFmtId="164" fontId="13" fillId="11" borderId="15" xfId="0" applyNumberFormat="1" applyFont="1" applyFill="1" applyBorder="1" applyAlignment="1">
      <alignment horizontal="center" vertical="center"/>
    </xf>
    <xf numFmtId="164" fontId="29" fillId="11" borderId="57" xfId="0" applyNumberFormat="1" applyFont="1" applyFill="1" applyBorder="1" applyAlignment="1">
      <alignment horizontal="left" vertical="center"/>
    </xf>
    <xf numFmtId="164" fontId="29" fillId="11" borderId="5" xfId="0" applyNumberFormat="1" applyFont="1" applyFill="1" applyBorder="1" applyAlignment="1">
      <alignment horizontal="left" vertical="center"/>
    </xf>
    <xf numFmtId="164" fontId="13" fillId="11" borderId="5" xfId="0" applyNumberFormat="1" applyFont="1" applyFill="1" applyBorder="1" applyAlignment="1">
      <alignment horizontal="center" vertical="center"/>
    </xf>
    <xf numFmtId="164" fontId="13" fillId="11" borderId="31" xfId="0" applyNumberFormat="1" applyFont="1" applyFill="1" applyBorder="1" applyAlignment="1">
      <alignment horizontal="center" vertical="center"/>
    </xf>
    <xf numFmtId="164" fontId="29" fillId="11" borderId="58" xfId="0" applyNumberFormat="1" applyFont="1" applyFill="1" applyBorder="1" applyAlignment="1">
      <alignment horizontal="left" vertical="center"/>
    </xf>
    <xf numFmtId="164" fontId="29" fillId="11" borderId="11" xfId="0" applyNumberFormat="1" applyFont="1" applyFill="1" applyBorder="1" applyAlignment="1">
      <alignment horizontal="left" vertical="center"/>
    </xf>
    <xf numFmtId="164" fontId="13" fillId="11" borderId="11" xfId="0" applyNumberFormat="1" applyFont="1" applyFill="1" applyBorder="1" applyAlignment="1">
      <alignment horizontal="center" vertical="center"/>
    </xf>
    <xf numFmtId="164" fontId="34" fillId="11" borderId="17" xfId="0" applyNumberFormat="1" applyFont="1" applyFill="1" applyBorder="1" applyAlignment="1">
      <alignment horizontal="center" vertical="center"/>
    </xf>
    <xf numFmtId="164" fontId="11" fillId="11" borderId="19" xfId="0" applyNumberFormat="1" applyFont="1" applyFill="1" applyBorder="1" applyAlignment="1">
      <alignment vertical="center"/>
    </xf>
    <xf numFmtId="164" fontId="11" fillId="11" borderId="20" xfId="0" applyNumberFormat="1" applyFont="1" applyFill="1" applyBorder="1" applyAlignment="1">
      <alignment vertical="center"/>
    </xf>
    <xf numFmtId="164" fontId="11" fillId="11" borderId="22" xfId="0" applyNumberFormat="1" applyFont="1" applyFill="1" applyBorder="1" applyAlignment="1">
      <alignment vertical="center"/>
    </xf>
    <xf numFmtId="164" fontId="11" fillId="11" borderId="23" xfId="0" applyNumberFormat="1" applyFont="1" applyFill="1" applyBorder="1" applyAlignment="1">
      <alignment vertical="center"/>
    </xf>
    <xf numFmtId="164" fontId="9" fillId="11" borderId="11" xfId="0" applyNumberFormat="1" applyFont="1" applyFill="1" applyBorder="1" applyAlignment="1">
      <alignment horizontal="center" vertical="center"/>
    </xf>
    <xf numFmtId="164" fontId="9" fillId="11" borderId="17" xfId="0" applyNumberFormat="1" applyFont="1" applyFill="1" applyBorder="1" applyAlignment="1">
      <alignment horizontal="center" vertical="center"/>
    </xf>
    <xf numFmtId="164" fontId="9" fillId="11" borderId="14" xfId="0" applyNumberFormat="1" applyFont="1" applyFill="1" applyBorder="1" applyAlignment="1">
      <alignment horizontal="center" vertical="center"/>
    </xf>
    <xf numFmtId="164" fontId="9" fillId="11" borderId="15" xfId="0" applyNumberFormat="1" applyFont="1" applyFill="1" applyBorder="1" applyAlignment="1">
      <alignment horizontal="center" vertical="center"/>
    </xf>
    <xf numFmtId="0" fontId="61" fillId="10" borderId="0" xfId="0" applyFont="1" applyFill="1" applyAlignment="1">
      <alignment horizontal="center"/>
    </xf>
    <xf numFmtId="0" fontId="62" fillId="10" borderId="0" xfId="0" applyFont="1" applyFill="1" applyAlignment="1">
      <alignment horizontal="center"/>
    </xf>
    <xf numFmtId="0" fontId="40" fillId="10" borderId="0" xfId="0" applyFont="1" applyFill="1" applyAlignment="1">
      <alignment horizontal="center"/>
    </xf>
    <xf numFmtId="0" fontId="16" fillId="10" borderId="0" xfId="0" applyFont="1" applyFill="1" applyAlignment="1">
      <alignment horizontal="center"/>
    </xf>
    <xf numFmtId="0" fontId="47" fillId="3" borderId="4" xfId="0" applyFont="1" applyFill="1" applyBorder="1" applyAlignment="1">
      <alignment horizontal="center" vertical="center"/>
    </xf>
    <xf numFmtId="165" fontId="16" fillId="3" borderId="7" xfId="0" quotePrefix="1" applyNumberFormat="1" applyFont="1" applyFill="1" applyBorder="1" applyAlignment="1">
      <alignment horizontal="right" vertical="center"/>
    </xf>
    <xf numFmtId="165" fontId="15" fillId="3" borderId="7" xfId="0" quotePrefix="1" applyNumberFormat="1" applyFont="1" applyFill="1" applyBorder="1" applyAlignment="1">
      <alignment horizontal="right" vertical="center"/>
    </xf>
    <xf numFmtId="0" fontId="15" fillId="3" borderId="7" xfId="0" quotePrefix="1" applyNumberFormat="1" applyFont="1" applyFill="1" applyBorder="1" applyAlignment="1">
      <alignment horizontal="right" vertical="center"/>
    </xf>
    <xf numFmtId="0" fontId="47" fillId="3" borderId="5" xfId="0" applyFont="1" applyFill="1" applyBorder="1" applyAlignment="1">
      <alignment horizontal="center" vertical="center"/>
    </xf>
    <xf numFmtId="165" fontId="13" fillId="3" borderId="7" xfId="0" quotePrefix="1" applyNumberFormat="1" applyFont="1" applyFill="1" applyBorder="1" applyAlignment="1">
      <alignment horizontal="right" vertical="center"/>
    </xf>
    <xf numFmtId="165" fontId="13" fillId="3" borderId="7" xfId="0" applyNumberFormat="1" applyFont="1" applyFill="1" applyBorder="1" applyAlignment="1">
      <alignment horizontal="left" vertical="center"/>
    </xf>
    <xf numFmtId="0" fontId="15" fillId="3" borderId="5" xfId="0" quotePrefix="1" applyFont="1" applyFill="1" applyBorder="1" applyAlignment="1">
      <alignment horizontal="left" vertical="center"/>
    </xf>
    <xf numFmtId="175" fontId="63" fillId="10" borderId="0" xfId="0" applyNumberFormat="1" applyFont="1" applyFill="1" applyAlignment="1">
      <alignment horizontal="left"/>
    </xf>
    <xf numFmtId="175" fontId="64" fillId="10" borderId="0" xfId="0" applyNumberFormat="1" applyFont="1" applyFill="1" applyAlignment="1">
      <alignment horizontal="left"/>
    </xf>
    <xf numFmtId="0" fontId="8" fillId="11" borderId="3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/>
    </xf>
    <xf numFmtId="164" fontId="11" fillId="11" borderId="4" xfId="0" applyNumberFormat="1" applyFont="1" applyFill="1" applyBorder="1" applyAlignment="1">
      <alignment horizontal="center" vertical="center" wrapText="1"/>
    </xf>
    <xf numFmtId="164" fontId="11" fillId="11" borderId="5" xfId="0" applyNumberFormat="1" applyFont="1" applyFill="1" applyBorder="1" applyAlignment="1">
      <alignment horizontal="center" vertical="center" wrapText="1"/>
    </xf>
    <xf numFmtId="164" fontId="11" fillId="11" borderId="6" xfId="0" applyNumberFormat="1" applyFont="1" applyFill="1" applyBorder="1" applyAlignment="1">
      <alignment horizontal="center" vertical="center" wrapText="1"/>
    </xf>
    <xf numFmtId="165" fontId="8" fillId="11" borderId="7" xfId="0" applyNumberFormat="1" applyFont="1" applyFill="1" applyBorder="1" applyAlignment="1">
      <alignment horizontal="center" vertical="center" wrapText="1"/>
    </xf>
    <xf numFmtId="165" fontId="11" fillId="11" borderId="7" xfId="0" applyNumberFormat="1" applyFont="1" applyFill="1" applyBorder="1" applyAlignment="1">
      <alignment horizontal="center" vertical="center" wrapText="1"/>
    </xf>
    <xf numFmtId="0" fontId="11" fillId="11" borderId="7" xfId="0" applyNumberFormat="1" applyFont="1" applyFill="1" applyBorder="1" applyAlignment="1">
      <alignment horizontal="center" vertical="center" wrapText="1"/>
    </xf>
    <xf numFmtId="165" fontId="32" fillId="9" borderId="0" xfId="0" applyNumberFormat="1" applyFont="1" applyFill="1" applyAlignment="1">
      <alignment vertical="center"/>
    </xf>
    <xf numFmtId="164" fontId="27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3" fontId="13" fillId="7" borderId="0" xfId="0" applyNumberFormat="1" applyFont="1" applyFill="1" applyAlignment="1">
      <alignment horizontal="center"/>
    </xf>
    <xf numFmtId="165" fontId="16" fillId="7" borderId="0" xfId="0" applyNumberFormat="1" applyFont="1" applyFill="1" applyAlignment="1">
      <alignment horizontal="right"/>
    </xf>
    <xf numFmtId="165" fontId="15" fillId="7" borderId="0" xfId="0" applyNumberFormat="1" applyFont="1" applyFill="1" applyAlignment="1">
      <alignment horizontal="right"/>
    </xf>
    <xf numFmtId="0" fontId="15" fillId="7" borderId="0" xfId="0" applyNumberFormat="1" applyFont="1" applyFill="1" applyAlignment="1">
      <alignment horizontal="right"/>
    </xf>
    <xf numFmtId="0" fontId="32" fillId="10" borderId="0" xfId="0" applyFont="1" applyFill="1" applyAlignment="1">
      <alignment vertical="center"/>
    </xf>
    <xf numFmtId="3" fontId="32" fillId="7" borderId="0" xfId="0" applyNumberFormat="1" applyFont="1" applyFill="1" applyAlignment="1">
      <alignment horizontal="center" vertical="center"/>
    </xf>
    <xf numFmtId="0" fontId="32" fillId="7" borderId="0" xfId="0" applyNumberFormat="1" applyFont="1" applyFill="1" applyAlignment="1">
      <alignment horizontal="center" vertical="center"/>
    </xf>
    <xf numFmtId="0" fontId="52" fillId="7" borderId="5" xfId="0" applyFont="1" applyFill="1" applyBorder="1" applyAlignment="1">
      <alignment horizontal="center" vertical="center" wrapText="1"/>
    </xf>
    <xf numFmtId="0" fontId="38" fillId="7" borderId="0" xfId="0" applyFont="1" applyFill="1" applyAlignment="1">
      <alignment horizontal="center" vertical="center"/>
    </xf>
    <xf numFmtId="0" fontId="38" fillId="7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165" fontId="32" fillId="3" borderId="7" xfId="0" applyNumberFormat="1" applyFont="1" applyFill="1" applyBorder="1" applyAlignment="1">
      <alignment horizontal="left" vertical="center"/>
    </xf>
    <xf numFmtId="165" fontId="32" fillId="3" borderId="7" xfId="0" quotePrefix="1" applyNumberFormat="1" applyFont="1" applyFill="1" applyBorder="1" applyAlignment="1">
      <alignment horizontal="left" vertical="center"/>
    </xf>
    <xf numFmtId="3" fontId="66" fillId="7" borderId="0" xfId="0" applyNumberFormat="1" applyFont="1" applyFill="1" applyAlignment="1">
      <alignment horizontal="center" vertical="center"/>
    </xf>
    <xf numFmtId="0" fontId="24" fillId="7" borderId="5" xfId="0" applyFont="1" applyFill="1" applyBorder="1" applyAlignment="1">
      <alignment horizontal="center"/>
    </xf>
    <xf numFmtId="0" fontId="24" fillId="7" borderId="6" xfId="0" applyFont="1" applyFill="1" applyBorder="1" applyAlignment="1">
      <alignment horizontal="center"/>
    </xf>
    <xf numFmtId="0" fontId="24" fillId="7" borderId="16" xfId="0" applyFont="1" applyFill="1" applyBorder="1" applyAlignment="1">
      <alignment horizontal="center"/>
    </xf>
    <xf numFmtId="0" fontId="24" fillId="7" borderId="4" xfId="0" applyFont="1" applyFill="1" applyBorder="1" applyAlignment="1">
      <alignment horizontal="center"/>
    </xf>
    <xf numFmtId="0" fontId="24" fillId="11" borderId="2" xfId="0" applyFont="1" applyFill="1" applyBorder="1" applyAlignment="1">
      <alignment horizontal="center" vertical="center" wrapText="1"/>
    </xf>
    <xf numFmtId="0" fontId="24" fillId="11" borderId="32" xfId="0" applyFont="1" applyFill="1" applyBorder="1" applyAlignment="1">
      <alignment horizontal="center" vertical="center" wrapText="1"/>
    </xf>
    <xf numFmtId="3" fontId="10" fillId="11" borderId="18" xfId="0" applyNumberFormat="1" applyFont="1" applyFill="1" applyBorder="1" applyAlignment="1">
      <alignment horizontal="center" vertical="center"/>
    </xf>
    <xf numFmtId="3" fontId="10" fillId="11" borderId="21" xfId="0" applyNumberFormat="1" applyFont="1" applyFill="1" applyBorder="1" applyAlignment="1">
      <alignment horizontal="center" vertical="center"/>
    </xf>
    <xf numFmtId="164" fontId="11" fillId="11" borderId="19" xfId="0" applyNumberFormat="1" applyFont="1" applyFill="1" applyBorder="1" applyAlignment="1">
      <alignment horizontal="center" vertical="center"/>
    </xf>
    <xf numFmtId="164" fontId="11" fillId="11" borderId="13" xfId="0" applyNumberFormat="1" applyFont="1" applyFill="1" applyBorder="1" applyAlignment="1">
      <alignment horizontal="center" vertical="center"/>
    </xf>
    <xf numFmtId="164" fontId="11" fillId="11" borderId="47" xfId="0" applyNumberFormat="1" applyFont="1" applyFill="1" applyBorder="1" applyAlignment="1">
      <alignment horizontal="center" vertical="center"/>
    </xf>
    <xf numFmtId="3" fontId="10" fillId="11" borderId="18" xfId="0" applyNumberFormat="1" applyFont="1" applyFill="1" applyBorder="1" applyAlignment="1">
      <alignment horizontal="center" vertical="center" wrapText="1"/>
    </xf>
    <xf numFmtId="3" fontId="10" fillId="11" borderId="24" xfId="0" applyNumberFormat="1" applyFont="1" applyFill="1" applyBorder="1" applyAlignment="1">
      <alignment horizontal="center" vertical="center" wrapText="1"/>
    </xf>
    <xf numFmtId="3" fontId="10" fillId="11" borderId="21" xfId="0" applyNumberFormat="1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/>
    </xf>
    <xf numFmtId="0" fontId="29" fillId="7" borderId="16" xfId="0" applyFont="1" applyFill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29" fillId="7" borderId="5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center" vertical="center" wrapText="1"/>
    </xf>
    <xf numFmtId="0" fontId="29" fillId="5" borderId="25" xfId="0" applyFont="1" applyFill="1" applyBorder="1" applyAlignment="1">
      <alignment horizontal="center" vertical="center" wrapText="1"/>
    </xf>
    <xf numFmtId="0" fontId="29" fillId="5" borderId="26" xfId="0" applyFont="1" applyFill="1" applyBorder="1" applyAlignment="1">
      <alignment horizontal="center" vertical="center" wrapText="1"/>
    </xf>
    <xf numFmtId="0" fontId="29" fillId="5" borderId="27" xfId="0" applyFont="1" applyFill="1" applyBorder="1" applyAlignment="1">
      <alignment horizontal="center" vertical="center" wrapText="1"/>
    </xf>
    <xf numFmtId="0" fontId="60" fillId="10" borderId="0" xfId="1" applyFont="1" applyFill="1" applyAlignment="1">
      <alignment horizontal="center"/>
    </xf>
    <xf numFmtId="0" fontId="17" fillId="10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/>
    </xf>
    <xf numFmtId="0" fontId="17" fillId="10" borderId="25" xfId="0" applyFont="1" applyFill="1" applyBorder="1" applyAlignment="1">
      <alignment horizontal="center"/>
    </xf>
    <xf numFmtId="0" fontId="17" fillId="10" borderId="26" xfId="0" applyFont="1" applyFill="1" applyBorder="1" applyAlignment="1">
      <alignment horizontal="center"/>
    </xf>
    <xf numFmtId="0" fontId="17" fillId="10" borderId="27" xfId="0" applyFont="1" applyFill="1" applyBorder="1" applyAlignment="1">
      <alignment horizontal="center"/>
    </xf>
    <xf numFmtId="0" fontId="29" fillId="10" borderId="0" xfId="0" applyFont="1" applyFill="1" applyAlignment="1">
      <alignment horizontal="center"/>
    </xf>
    <xf numFmtId="0" fontId="30" fillId="10" borderId="0" xfId="1" applyFont="1" applyFill="1" applyBorder="1" applyAlignment="1">
      <alignment horizontal="center" vertical="center" wrapText="1"/>
    </xf>
    <xf numFmtId="0" fontId="15" fillId="0" borderId="60" xfId="0" applyFont="1" applyBorder="1" applyAlignment="1">
      <alignment horizontal="left" vertical="center"/>
    </xf>
    <xf numFmtId="0" fontId="47" fillId="0" borderId="61" xfId="0" applyFont="1" applyBorder="1" applyAlignment="1">
      <alignment horizontal="center" vertical="center"/>
    </xf>
    <xf numFmtId="165" fontId="28" fillId="0" borderId="62" xfId="0" quotePrefix="1" applyNumberFormat="1" applyFont="1" applyBorder="1" applyAlignment="1">
      <alignment horizontal="right" vertical="center"/>
    </xf>
    <xf numFmtId="165" fontId="9" fillId="0" borderId="62" xfId="0" quotePrefix="1" applyNumberFormat="1" applyFont="1" applyBorder="1" applyAlignment="1">
      <alignment horizontal="right" vertical="center"/>
    </xf>
    <xf numFmtId="0" fontId="9" fillId="0" borderId="62" xfId="0" quotePrefix="1" applyNumberFormat="1" applyFont="1" applyBorder="1" applyAlignment="1">
      <alignment horizontal="right" vertical="center"/>
    </xf>
    <xf numFmtId="165" fontId="29" fillId="0" borderId="62" xfId="0" quotePrefix="1" applyNumberFormat="1" applyFont="1" applyBorder="1" applyAlignment="1">
      <alignment horizontal="left" vertical="center"/>
    </xf>
  </cellXfs>
  <cellStyles count="2">
    <cellStyle name="Link" xfId="1" builtinId="8"/>
    <cellStyle name="Standard" xfId="0" builtinId="0"/>
  </cellStyles>
  <dxfs count="85"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ont>
        <color rgb="FFFF0000"/>
      </font>
    </dxf>
    <dxf>
      <font>
        <b/>
        <i/>
        <strike val="0"/>
      </font>
      <fill>
        <patternFill patternType="solid">
          <bgColor rgb="FF00B05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ont>
        <color rgb="FF00B050"/>
      </font>
    </dxf>
    <dxf>
      <font>
        <color rgb="FFFF0000"/>
      </font>
      <numFmt numFmtId="169" formatCode="0.0%"/>
    </dxf>
    <dxf>
      <font>
        <color rgb="FFFF0000"/>
      </font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  <color auto="1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4" formatCode="#,##0.0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3" formatCode="#,##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3" formatCode="#,##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D0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de-DE">
                <a:solidFill>
                  <a:sysClr val="windowText" lastClr="000000"/>
                </a:solidFill>
              </a:rPr>
              <a:t>Aktueller Stand</a:t>
            </a:r>
          </a:p>
          <a:p>
            <a:pPr>
              <a:defRPr/>
            </a:pPr>
            <a:r>
              <a:rPr lang="de-DE">
                <a:solidFill>
                  <a:sysClr val="windowText" lastClr="000000"/>
                </a:solidFill>
              </a:rPr>
              <a:t>und Prognose</a:t>
            </a:r>
          </a:p>
        </c:rich>
      </c:tx>
      <c:layout>
        <c:manualLayout>
          <c:xMode val="edge"/>
          <c:yMode val="edge"/>
          <c:x val="3.3915804085648725E-2"/>
          <c:y val="3.791701568968821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0805541273050116E-2"/>
          <c:y val="0.10467574213818567"/>
          <c:w val="0.8597564327361924"/>
          <c:h val="0.76489625830237284"/>
        </c:manualLayout>
      </c:layout>
      <c:lineChart>
        <c:grouping val="standard"/>
        <c:varyColors val="0"/>
        <c:ser>
          <c:idx val="0"/>
          <c:order val="0"/>
          <c:tx>
            <c:v>€ Aktuelle Prognose</c:v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52-48EC-BA19-7C3524606F78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52-48EC-BA19-7C3524606F78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A52-48EC-BA19-7C3524606F78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21-4EB0-BFD6-16238A980F2B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56-495F-8E18-6183F54FE182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A00-49C1-9C3B-38E7C06BD64B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24-4AB6-B92D-984D7F5E69E4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E-42E3-8C48-8DAF68502009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F1C3-41C3-A60F-9BE03AB3E8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44DA-4FC4-B86B-DE6864883721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2DBA-4FE1-8030-9A73D2343135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84F-4A97-A50D-31F5C3A492D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DB1-4CD1-B159-CAE1CCAE2A9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1DB1-4CD1-B159-CAE1CCAE2A9F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A3CE-4147-AD19-AA1D4EF0068D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A8AA-4C8C-B073-A8918E4E5F2B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A8AA-4C8C-B073-A8918E4E5F2B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8C9-4415-9450-40E2DBEF710C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C4B-4F1F-9788-B7761434CBCE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BC2D-456B-BA4B-9528EACEB0CB}"/>
              </c:ext>
            </c:extLst>
          </c:dPt>
          <c:dPt>
            <c:idx val="22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2E9-44F5-946D-8A216D011837}"/>
              </c:ext>
            </c:extLst>
          </c:dPt>
          <c:dPt>
            <c:idx val="23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92E9-44F5-946D-8A216D011837}"/>
              </c:ext>
            </c:extLst>
          </c:dPt>
          <c:dPt>
            <c:idx val="24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92E9-44F5-946D-8A216D011837}"/>
              </c:ext>
            </c:extLst>
          </c:dPt>
          <c:dPt>
            <c:idx val="25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92E9-44F5-946D-8A216D011837}"/>
              </c:ext>
            </c:extLst>
          </c:dPt>
          <c:cat>
            <c:numRef>
              <c:f>Sonnenküste!$E$169:$E$190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Sonnenküste!$G$169:$G$190</c:f>
              <c:numCache>
                <c:formatCode>#,##0\ "€"</c:formatCode>
                <c:ptCount val="22"/>
                <c:pt idx="0">
                  <c:v>0</c:v>
                </c:pt>
                <c:pt idx="1">
                  <c:v>89735</c:v>
                </c:pt>
                <c:pt idx="2">
                  <c:v>114003</c:v>
                </c:pt>
                <c:pt idx="3">
                  <c:v>122519</c:v>
                </c:pt>
                <c:pt idx="4">
                  <c:v>127604</c:v>
                </c:pt>
                <c:pt idx="5">
                  <c:v>131274</c:v>
                </c:pt>
                <c:pt idx="6">
                  <c:v>135593</c:v>
                </c:pt>
                <c:pt idx="7">
                  <c:v>147297</c:v>
                </c:pt>
                <c:pt idx="8">
                  <c:v>154154</c:v>
                </c:pt>
                <c:pt idx="9">
                  <c:v>158642</c:v>
                </c:pt>
                <c:pt idx="10">
                  <c:v>163194</c:v>
                </c:pt>
                <c:pt idx="11">
                  <c:v>166405</c:v>
                </c:pt>
                <c:pt idx="12">
                  <c:v>169780</c:v>
                </c:pt>
                <c:pt idx="13">
                  <c:v>172436</c:v>
                </c:pt>
                <c:pt idx="14">
                  <c:v>176629</c:v>
                </c:pt>
                <c:pt idx="15">
                  <c:v>188273</c:v>
                </c:pt>
                <c:pt idx="16">
                  <c:v>193264</c:v>
                </c:pt>
                <c:pt idx="17">
                  <c:v>198261</c:v>
                </c:pt>
                <c:pt idx="18">
                  <c:v>203119</c:v>
                </c:pt>
                <c:pt idx="19">
                  <c:v>212186</c:v>
                </c:pt>
                <c:pt idx="20">
                  <c:v>220897</c:v>
                </c:pt>
                <c:pt idx="21">
                  <c:v>274051.62068965519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2E9-44F5-946D-8A216D011837}"/>
            </c:ext>
          </c:extLst>
        </c:ser>
        <c:ser>
          <c:idx val="2"/>
          <c:order val="1"/>
          <c:tx>
            <c:v>€ Erste Schätzung max.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Sonnenküste!$E$169:$E$190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Sonnenküste!$I$169:$I$190</c:f>
              <c:numCache>
                <c:formatCode>#,##0\ "€"</c:formatCode>
                <c:ptCount val="22"/>
                <c:pt idx="0">
                  <c:v>0</c:v>
                </c:pt>
                <c:pt idx="1">
                  <c:v>89735</c:v>
                </c:pt>
                <c:pt idx="2">
                  <c:v>114003</c:v>
                </c:pt>
                <c:pt idx="3">
                  <c:v>122519</c:v>
                </c:pt>
                <c:pt idx="4">
                  <c:v>127604</c:v>
                </c:pt>
                <c:pt idx="5">
                  <c:v>131274</c:v>
                </c:pt>
                <c:pt idx="6">
                  <c:v>135593</c:v>
                </c:pt>
                <c:pt idx="7">
                  <c:v>150511.89146597724</c:v>
                </c:pt>
                <c:pt idx="8">
                  <c:v>169788.92737551677</c:v>
                </c:pt>
                <c:pt idx="9">
                  <c:v>181786.0665740871</c:v>
                </c:pt>
                <c:pt idx="10">
                  <c:v>197466.6811637831</c:v>
                </c:pt>
                <c:pt idx="11">
                  <c:v>205252.57966407976</c:v>
                </c:pt>
                <c:pt idx="12">
                  <c:v>226656.99944057668</c:v>
                </c:pt>
                <c:pt idx="13">
                  <c:v>234094.68165574476</c:v>
                </c:pt>
                <c:pt idx="14">
                  <c:v>245373.62476623742</c:v>
                </c:pt>
                <c:pt idx="15">
                  <c:v>253513.1804311178</c:v>
                </c:pt>
                <c:pt idx="16">
                  <c:v>268138.26440651785</c:v>
                </c:pt>
                <c:pt idx="17">
                  <c:v>281283.42917012144</c:v>
                </c:pt>
                <c:pt idx="18">
                  <c:v>294836.6598928601</c:v>
                </c:pt>
                <c:pt idx="19">
                  <c:v>320321.73926070746</c:v>
                </c:pt>
                <c:pt idx="20">
                  <c:v>361454.78794151999</c:v>
                </c:pt>
                <c:pt idx="21">
                  <c:v>421347.98898363434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2E9-44F5-946D-8A216D011837}"/>
            </c:ext>
          </c:extLst>
        </c:ser>
        <c:ser>
          <c:idx val="3"/>
          <c:order val="2"/>
          <c:tx>
            <c:v>€ Erste Schätzung min.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Sonnenküste!$E$169:$E$190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Sonnenküste!$H$169:$H$190</c:f>
              <c:numCache>
                <c:formatCode>#,##0\ "€"</c:formatCode>
                <c:ptCount val="22"/>
                <c:pt idx="0">
                  <c:v>0</c:v>
                </c:pt>
                <c:pt idx="1">
                  <c:v>89735</c:v>
                </c:pt>
                <c:pt idx="2">
                  <c:v>114003</c:v>
                </c:pt>
                <c:pt idx="3">
                  <c:v>122519</c:v>
                </c:pt>
                <c:pt idx="4">
                  <c:v>127604</c:v>
                </c:pt>
                <c:pt idx="5">
                  <c:v>131274</c:v>
                </c:pt>
                <c:pt idx="6">
                  <c:v>135593</c:v>
                </c:pt>
                <c:pt idx="7">
                  <c:v>142800.83852043358</c:v>
                </c:pt>
                <c:pt idx="8">
                  <c:v>147890.61946447159</c:v>
                </c:pt>
                <c:pt idx="9">
                  <c:v>154033.79178110481</c:v>
                </c:pt>
                <c:pt idx="10">
                  <c:v>161652.3562954402</c:v>
                </c:pt>
                <c:pt idx="11">
                  <c:v>164446.90374414463</c:v>
                </c:pt>
                <c:pt idx="12">
                  <c:v>169427.1577564755</c:v>
                </c:pt>
                <c:pt idx="13">
                  <c:v>174111.04477712821</c:v>
                </c:pt>
                <c:pt idx="14">
                  <c:v>180629.50790387561</c:v>
                </c:pt>
                <c:pt idx="15">
                  <c:v>187647.28498399383</c:v>
                </c:pt>
                <c:pt idx="16">
                  <c:v>197288.8763545671</c:v>
                </c:pt>
                <c:pt idx="17">
                  <c:v>207106.03295390622</c:v>
                </c:pt>
                <c:pt idx="18">
                  <c:v>216565.61633502497</c:v>
                </c:pt>
                <c:pt idx="19">
                  <c:v>229647.6419133404</c:v>
                </c:pt>
                <c:pt idx="20">
                  <c:v>240571.34266095614</c:v>
                </c:pt>
                <c:pt idx="21">
                  <c:v>305348.46931487281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2E9-44F5-946D-8A216D011837}"/>
            </c:ext>
          </c:extLst>
        </c:ser>
        <c:ser>
          <c:idx val="1"/>
          <c:order val="3"/>
          <c:tx>
            <c:v>€ Werkzeuge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Sonnenküste!$E$169:$E$190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Sonnenküste!$J$169:$J$190</c:f>
              <c:numCache>
                <c:formatCode>#,##0\ "€"</c:formatCode>
                <c:ptCount val="22"/>
                <c:pt idx="0" formatCode="General">
                  <c:v>0</c:v>
                </c:pt>
                <c:pt idx="1">
                  <c:v>43437</c:v>
                </c:pt>
                <c:pt idx="2">
                  <c:v>49522</c:v>
                </c:pt>
                <c:pt idx="3">
                  <c:v>53901</c:v>
                </c:pt>
                <c:pt idx="4">
                  <c:v>59963</c:v>
                </c:pt>
                <c:pt idx="5">
                  <c:v>63115</c:v>
                </c:pt>
                <c:pt idx="6">
                  <c:v>65148</c:v>
                </c:pt>
                <c:pt idx="7">
                  <c:v>69623</c:v>
                </c:pt>
                <c:pt idx="8">
                  <c:v>72783</c:v>
                </c:pt>
                <c:pt idx="9">
                  <c:v>76597</c:v>
                </c:pt>
                <c:pt idx="10">
                  <c:v>81327</c:v>
                </c:pt>
                <c:pt idx="11">
                  <c:v>83062</c:v>
                </c:pt>
                <c:pt idx="12">
                  <c:v>86154</c:v>
                </c:pt>
                <c:pt idx="13">
                  <c:v>89062</c:v>
                </c:pt>
                <c:pt idx="14">
                  <c:v>93109</c:v>
                </c:pt>
                <c:pt idx="15">
                  <c:v>97466</c:v>
                </c:pt>
                <c:pt idx="16">
                  <c:v>103452</c:v>
                </c:pt>
                <c:pt idx="17">
                  <c:v>109547</c:v>
                </c:pt>
                <c:pt idx="18">
                  <c:v>115420</c:v>
                </c:pt>
                <c:pt idx="19">
                  <c:v>123542</c:v>
                </c:pt>
                <c:pt idx="20">
                  <c:v>130324</c:v>
                </c:pt>
                <c:pt idx="21">
                  <c:v>170541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52-48EC-BA19-7C3524606F78}"/>
            </c:ext>
          </c:extLst>
        </c:ser>
        <c:ser>
          <c:idx val="4"/>
          <c:order val="4"/>
          <c:tx>
            <c:v>€ Thorwal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val>
            <c:numRef>
              <c:f>Sonnenküste!$K$169:$K$190</c:f>
              <c:numCache>
                <c:formatCode>#,##0\ "€"</c:formatCode>
                <c:ptCount val="22"/>
                <c:pt idx="2">
                  <c:v>65000</c:v>
                </c:pt>
                <c:pt idx="12">
                  <c:v>125000</c:v>
                </c:pt>
                <c:pt idx="21">
                  <c:v>266116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B7C-46DC-8092-36A582ED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41632"/>
        <c:axId val="514139008"/>
      </c:lineChart>
      <c:catAx>
        <c:axId val="51414163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39008"/>
        <c:crosses val="autoZero"/>
        <c:auto val="0"/>
        <c:lblAlgn val="ctr"/>
        <c:lblOffset val="100"/>
        <c:noMultiLvlLbl val="0"/>
      </c:catAx>
      <c:valAx>
        <c:axId val="514139008"/>
        <c:scaling>
          <c:orientation val="minMax"/>
          <c:max val="43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\ &quot;T€&quot;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41632"/>
        <c:crossesAt val="43874"/>
        <c:crossBetween val="midCat"/>
        <c:majorUnit val="15000"/>
        <c:minorUnit val="1000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20195507066379303"/>
          <c:y val="7.5604929793808831E-3"/>
          <c:w val="0.79082145365452128"/>
          <c:h val="9.6686295705487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Sonnenküste!$AU$193</c:f>
              <c:strCache>
                <c:ptCount val="1"/>
                <c:pt idx="0">
                  <c:v>AML (€/kum)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Sonnenküste!$AU$194:$AU$211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5AD-4B0F-940D-184573DF9252}"/>
            </c:ext>
          </c:extLst>
        </c:ser>
        <c:ser>
          <c:idx val="3"/>
          <c:order val="1"/>
          <c:tx>
            <c:strRef>
              <c:f>Sonnenküste!$AW$193</c:f>
              <c:strCache>
                <c:ptCount val="1"/>
                <c:pt idx="0">
                  <c:v>AML (B/kum)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Sonnenküste!$AW$194:$AW$211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5AD-4B0F-940D-184573DF9252}"/>
            </c:ext>
          </c:extLst>
        </c:ser>
        <c:ser>
          <c:idx val="5"/>
          <c:order val="2"/>
          <c:tx>
            <c:strRef>
              <c:f>Sonnenküste!$AY$193</c:f>
              <c:strCache>
                <c:ptCount val="1"/>
                <c:pt idx="0">
                  <c:v>DSK (€/kum)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Sonnenküste!$AY$194:$AY$211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85AD-4B0F-940D-184573DF9252}"/>
            </c:ext>
          </c:extLst>
        </c:ser>
        <c:ser>
          <c:idx val="7"/>
          <c:order val="3"/>
          <c:tx>
            <c:strRef>
              <c:f>Sonnenküste!$BA$193</c:f>
              <c:strCache>
                <c:ptCount val="1"/>
                <c:pt idx="0">
                  <c:v>DSK (B/kum)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Sonnenküste!$BA$194:$BA$211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85AD-4B0F-940D-184573DF9252}"/>
            </c:ext>
          </c:extLst>
        </c:ser>
        <c:ser>
          <c:idx val="9"/>
          <c:order val="4"/>
          <c:tx>
            <c:strRef>
              <c:f>Sonnenküste!$BC$193</c:f>
              <c:strCache>
                <c:ptCount val="1"/>
                <c:pt idx="0">
                  <c:v>WM (€/kum)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Sonnenküste!$BC$194:$BC$211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5AD-4B0F-940D-184573DF9252}"/>
            </c:ext>
          </c:extLst>
        </c:ser>
        <c:ser>
          <c:idx val="11"/>
          <c:order val="5"/>
          <c:tx>
            <c:strRef>
              <c:f>Sonnenküste!$BE$193</c:f>
              <c:strCache>
                <c:ptCount val="1"/>
                <c:pt idx="0">
                  <c:v>WM (B/kum)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Sonnenküste!$BE$194:$BE$211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85AD-4B0F-940D-184573DF9252}"/>
            </c:ext>
          </c:extLst>
        </c:ser>
        <c:ser>
          <c:idx val="14"/>
          <c:order val="6"/>
          <c:tx>
            <c:strRef>
              <c:f>Sonnenküste!$BH$193</c:f>
              <c:strCache>
                <c:ptCount val="1"/>
                <c:pt idx="0">
                  <c:v>ANB (€/kum)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Sonnenküste!$BH$194:$BH$211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Sonnenküste!$AO$194:$AO$211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85AD-4B0F-940D-184573DF9252}"/>
            </c:ext>
          </c:extLst>
        </c:ser>
        <c:ser>
          <c:idx val="0"/>
          <c:order val="7"/>
          <c:tx>
            <c:strRef>
              <c:f>Sonnenküste!$BJ$193</c:f>
              <c:strCache>
                <c:ptCount val="1"/>
                <c:pt idx="0">
                  <c:v>ANB (B/kum)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Sonnenküste!$BJ$194:$BJ$211</c:f>
            </c:numRef>
          </c:val>
          <c:smooth val="0"/>
          <c:extLst>
            <c:ext xmlns:c16="http://schemas.microsoft.com/office/drawing/2014/chart" uri="{C3380CC4-5D6E-409C-BE32-E72D297353CC}">
              <c16:uniqueId val="{00000011-85AD-4B0F-940D-184573DF9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804584"/>
        <c:axId val="721798024"/>
      </c:lineChart>
      <c:catAx>
        <c:axId val="72180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1798024"/>
        <c:crosses val="autoZero"/>
        <c:auto val="1"/>
        <c:lblAlgn val="ctr"/>
        <c:lblOffset val="100"/>
        <c:noMultiLvlLbl val="0"/>
      </c:catAx>
      <c:valAx>
        <c:axId val="721798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180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Vergleich!$C$2</c:f>
              <c:strCache>
                <c:ptCount val="1"/>
                <c:pt idx="0">
                  <c:v>Nedime (€)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Vergleich!$C$3:$C$24</c:f>
              <c:numCache>
                <c:formatCode>#,##0</c:formatCode>
                <c:ptCount val="22"/>
                <c:pt idx="0">
                  <c:v>0</c:v>
                </c:pt>
                <c:pt idx="1">
                  <c:v>14771</c:v>
                </c:pt>
                <c:pt idx="2">
                  <c:v>16764</c:v>
                </c:pt>
                <c:pt idx="3">
                  <c:v>17674</c:v>
                </c:pt>
                <c:pt idx="4">
                  <c:v>18881</c:v>
                </c:pt>
                <c:pt idx="5">
                  <c:v>21886</c:v>
                </c:pt>
                <c:pt idx="6">
                  <c:v>22571</c:v>
                </c:pt>
                <c:pt idx="7">
                  <c:v>24180</c:v>
                </c:pt>
                <c:pt idx="8">
                  <c:v>26679</c:v>
                </c:pt>
                <c:pt idx="9">
                  <c:v>27868</c:v>
                </c:pt>
                <c:pt idx="10">
                  <c:v>31587</c:v>
                </c:pt>
                <c:pt idx="11">
                  <c:v>34703</c:v>
                </c:pt>
                <c:pt idx="12">
                  <c:v>36986</c:v>
                </c:pt>
                <c:pt idx="13">
                  <c:v>37704</c:v>
                </c:pt>
                <c:pt idx="14">
                  <c:v>38541</c:v>
                </c:pt>
                <c:pt idx="15">
                  <c:v>40401</c:v>
                </c:pt>
                <c:pt idx="16">
                  <c:v>42277</c:v>
                </c:pt>
                <c:pt idx="17">
                  <c:v>44039</c:v>
                </c:pt>
                <c:pt idx="18">
                  <c:v>46661</c:v>
                </c:pt>
                <c:pt idx="19">
                  <c:v>49576</c:v>
                </c:pt>
                <c:pt idx="20">
                  <c:v>54612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1-40A9-B8C8-DD6E3F7C80B9}"/>
            </c:ext>
          </c:extLst>
        </c:ser>
        <c:ser>
          <c:idx val="3"/>
          <c:order val="2"/>
          <c:tx>
            <c:strRef>
              <c:f>Vergleich!$E$2</c:f>
              <c:strCache>
                <c:ptCount val="1"/>
                <c:pt idx="0">
                  <c:v>Thorwal norm (€)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Vergleich!$E$3:$E$24</c:f>
              <c:numCache>
                <c:formatCode>#,##0</c:formatCode>
                <c:ptCount val="22"/>
                <c:pt idx="0">
                  <c:v>0</c:v>
                </c:pt>
                <c:pt idx="1">
                  <c:v>15220.890095815445</c:v>
                </c:pt>
                <c:pt idx="2">
                  <c:v>16625.895335429177</c:v>
                </c:pt>
                <c:pt idx="3">
                  <c:v>18030.90057504291</c:v>
                </c:pt>
                <c:pt idx="4">
                  <c:v>19435.905814656642</c:v>
                </c:pt>
                <c:pt idx="5">
                  <c:v>20840.911054270375</c:v>
                </c:pt>
                <c:pt idx="6">
                  <c:v>22245.916293884107</c:v>
                </c:pt>
                <c:pt idx="7">
                  <c:v>23650.92153349784</c:v>
                </c:pt>
                <c:pt idx="8">
                  <c:v>25055.926773111572</c:v>
                </c:pt>
                <c:pt idx="9">
                  <c:v>26460.932012725305</c:v>
                </c:pt>
                <c:pt idx="10">
                  <c:v>27865.937252339038</c:v>
                </c:pt>
                <c:pt idx="11">
                  <c:v>29270.942491952781</c:v>
                </c:pt>
                <c:pt idx="12">
                  <c:v>32578.348242757504</c:v>
                </c:pt>
                <c:pt idx="13">
                  <c:v>35885.753993562226</c:v>
                </c:pt>
                <c:pt idx="14">
                  <c:v>39193.159744366945</c:v>
                </c:pt>
                <c:pt idx="15">
                  <c:v>42500.565495171664</c:v>
                </c:pt>
                <c:pt idx="16">
                  <c:v>45807.971245976383</c:v>
                </c:pt>
                <c:pt idx="17">
                  <c:v>49115.376996781102</c:v>
                </c:pt>
                <c:pt idx="18">
                  <c:v>52422.782747585821</c:v>
                </c:pt>
                <c:pt idx="19">
                  <c:v>55730.18849839054</c:v>
                </c:pt>
                <c:pt idx="20">
                  <c:v>59037.594249195259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1-40A9-B8C8-DD6E3F7C80B9}"/>
            </c:ext>
          </c:extLst>
        </c:ser>
        <c:ser>
          <c:idx val="5"/>
          <c:order val="4"/>
          <c:tx>
            <c:strRef>
              <c:f>Vergleich!$G$2</c:f>
              <c:strCache>
                <c:ptCount val="1"/>
                <c:pt idx="0">
                  <c:v>Werkzeuge norm (€)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Vergleich!$G$3:$G$24</c:f>
              <c:numCache>
                <c:formatCode>#,##0</c:formatCode>
                <c:ptCount val="22"/>
                <c:pt idx="0">
                  <c:v>0</c:v>
                </c:pt>
                <c:pt idx="1">
                  <c:v>15879.347283058034</c:v>
                </c:pt>
                <c:pt idx="2">
                  <c:v>18103.852387402443</c:v>
                </c:pt>
                <c:pt idx="3">
                  <c:v>19704.691804316852</c:v>
                </c:pt>
                <c:pt idx="4">
                  <c:v>21920.78875461033</c:v>
                </c:pt>
                <c:pt idx="5">
                  <c:v>23073.071431503275</c:v>
                </c:pt>
                <c:pt idx="6">
                  <c:v>23816.279135222616</c:v>
                </c:pt>
                <c:pt idx="7">
                  <c:v>25452.213456001784</c:v>
                </c:pt>
                <c:pt idx="8">
                  <c:v>26607.420708216792</c:v>
                </c:pt>
                <c:pt idx="9">
                  <c:v>28001.711993010478</c:v>
                </c:pt>
                <c:pt idx="10">
                  <c:v>29730.867152180414</c:v>
                </c:pt>
                <c:pt idx="11">
                  <c:v>30365.134425152894</c:v>
                </c:pt>
                <c:pt idx="12">
                  <c:v>31495.482787130364</c:v>
                </c:pt>
                <c:pt idx="13">
                  <c:v>32558.56591670038</c:v>
                </c:pt>
                <c:pt idx="14">
                  <c:v>34038.035457749167</c:v>
                </c:pt>
                <c:pt idx="15">
                  <c:v>35630.832292527899</c:v>
                </c:pt>
                <c:pt idx="16">
                  <c:v>37819.145777261772</c:v>
                </c:pt>
                <c:pt idx="17">
                  <c:v>40047.306600758762</c:v>
                </c:pt>
                <c:pt idx="18">
                  <c:v>42194.310459068496</c:v>
                </c:pt>
                <c:pt idx="19">
                  <c:v>45163.485554793275</c:v>
                </c:pt>
                <c:pt idx="20">
                  <c:v>47642.79428407245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1-40A9-B8C8-DD6E3F7C80B9}"/>
            </c:ext>
          </c:extLst>
        </c:ser>
        <c:ser>
          <c:idx val="0"/>
          <c:order val="6"/>
          <c:tx>
            <c:strRef>
              <c:f>Vergleich!$I$2</c:f>
              <c:strCache>
                <c:ptCount val="1"/>
                <c:pt idx="0">
                  <c:v>Mythos norm (€)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Vergleich!$I$3:$I$24</c:f>
              <c:numCache>
                <c:formatCode>#,##0</c:formatCode>
                <c:ptCount val="22"/>
                <c:pt idx="0">
                  <c:v>0</c:v>
                </c:pt>
                <c:pt idx="1">
                  <c:v>8008.0810450070085</c:v>
                </c:pt>
                <c:pt idx="2">
                  <c:v>16016.162090014017</c:v>
                </c:pt>
                <c:pt idx="3">
                  <c:v>24024.243135021028</c:v>
                </c:pt>
                <c:pt idx="4">
                  <c:v>26153.174071964302</c:v>
                </c:pt>
                <c:pt idx="5">
                  <c:v>28282.10500890758</c:v>
                </c:pt>
                <c:pt idx="6">
                  <c:v>30411.035945850857</c:v>
                </c:pt>
                <c:pt idx="7">
                  <c:v>32539.966882794135</c:v>
                </c:pt>
                <c:pt idx="8">
                  <c:v>34668.897819737409</c:v>
                </c:pt>
                <c:pt idx="9">
                  <c:v>36797.828756680683</c:v>
                </c:pt>
                <c:pt idx="10">
                  <c:v>38926.759693623957</c:v>
                </c:pt>
                <c:pt idx="11">
                  <c:v>41055.690630567231</c:v>
                </c:pt>
                <c:pt idx="12">
                  <c:v>43184.621567510505</c:v>
                </c:pt>
                <c:pt idx="13">
                  <c:v>45313.552504453779</c:v>
                </c:pt>
                <c:pt idx="14">
                  <c:v>47442.483441397053</c:v>
                </c:pt>
                <c:pt idx="15">
                  <c:v>49571.414378340327</c:v>
                </c:pt>
                <c:pt idx="16">
                  <c:v>51700.345315283601</c:v>
                </c:pt>
                <c:pt idx="17">
                  <c:v>53829.276252226875</c:v>
                </c:pt>
                <c:pt idx="18">
                  <c:v>55958.207189170149</c:v>
                </c:pt>
                <c:pt idx="19">
                  <c:v>58087.138126113423</c:v>
                </c:pt>
                <c:pt idx="20">
                  <c:v>60216.069063056697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1-40A9-B8C8-DD6E3F7C80B9}"/>
            </c:ext>
          </c:extLst>
        </c:ser>
        <c:ser>
          <c:idx val="8"/>
          <c:order val="9"/>
          <c:tx>
            <c:strRef>
              <c:f>Vergleich!$K$2</c:f>
              <c:strCache>
                <c:ptCount val="1"/>
                <c:pt idx="0">
                  <c:v>DSK norm (€)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val>
            <c:numRef>
              <c:f>Vergleich!$K$3:$K$24</c:f>
              <c:numCache>
                <c:formatCode>#,##0</c:formatCode>
                <c:ptCount val="22"/>
                <c:pt idx="0">
                  <c:v>0</c:v>
                </c:pt>
                <c:pt idx="1">
                  <c:v>18321.783592211064</c:v>
                </c:pt>
                <c:pt idx="2">
                  <c:v>21471.044620079439</c:v>
                </c:pt>
                <c:pt idx="3">
                  <c:v>22786.717998191623</c:v>
                </c:pt>
                <c:pt idx="4">
                  <c:v>24137.623639680951</c:v>
                </c:pt>
                <c:pt idx="5">
                  <c:v>25549.934083056156</c:v>
                </c:pt>
                <c:pt idx="6">
                  <c:v>27093.107218975038</c:v>
                </c:pt>
                <c:pt idx="7">
                  <c:v>28176.247658798078</c:v>
                </c:pt>
                <c:pt idx="8">
                  <c:v>29592.58464655924</c:v>
                </c:pt>
                <c:pt idx="9">
                  <c:v>31860.032453902542</c:v>
                </c:pt>
                <c:pt idx="10">
                  <c:v>33546.147915522975</c:v>
                </c:pt>
                <c:pt idx="11">
                  <c:v>35065.161785126103</c:v>
                </c:pt>
                <c:pt idx="12">
                  <c:v>35879.530387186358</c:v>
                </c:pt>
                <c:pt idx="13">
                  <c:v>37285.297695934387</c:v>
                </c:pt>
                <c:pt idx="14">
                  <c:v>37955.717336196598</c:v>
                </c:pt>
                <c:pt idx="15">
                  <c:v>38763.542803629673</c:v>
                </c:pt>
                <c:pt idx="16">
                  <c:v>40290.106443956465</c:v>
                </c:pt>
                <c:pt idx="17">
                  <c:v>43704.616083249915</c:v>
                </c:pt>
                <c:pt idx="18">
                  <c:v>46292.174169276972</c:v>
                </c:pt>
                <c:pt idx="19">
                  <c:v>50920.686940937128</c:v>
                </c:pt>
                <c:pt idx="20">
                  <c:v>54792.209368036936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51-40A9-B8C8-DD6E3F7C80B9}"/>
            </c:ext>
          </c:extLst>
        </c:ser>
        <c:ser>
          <c:idx val="10"/>
          <c:order val="10"/>
          <c:tx>
            <c:strRef>
              <c:f>Vergleich!$M$2</c:f>
              <c:strCache>
                <c:ptCount val="1"/>
                <c:pt idx="0">
                  <c:v>Mythen norm (€)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val>
            <c:numRef>
              <c:f>Vergleich!$M$3:$M$24</c:f>
              <c:numCache>
                <c:formatCode>#,##0</c:formatCode>
                <c:ptCount val="22"/>
                <c:pt idx="0">
                  <c:v>0</c:v>
                </c:pt>
                <c:pt idx="1">
                  <c:v>13585.517272030311</c:v>
                </c:pt>
                <c:pt idx="2">
                  <c:v>16993.672736969591</c:v>
                </c:pt>
                <c:pt idx="3">
                  <c:v>19168.103632181865</c:v>
                </c:pt>
                <c:pt idx="4">
                  <c:v>21005.875268052576</c:v>
                </c:pt>
                <c:pt idx="5">
                  <c:v>22597.040532882966</c:v>
                </c:pt>
                <c:pt idx="6">
                  <c:v>25963.633126298595</c:v>
                </c:pt>
                <c:pt idx="7">
                  <c:v>27863.056354929391</c:v>
                </c:pt>
                <c:pt idx="8">
                  <c:v>30317.343918400908</c:v>
                </c:pt>
                <c:pt idx="9">
                  <c:v>31844.779446895034</c:v>
                </c:pt>
                <c:pt idx="10">
                  <c:v>33841.182709081011</c:v>
                </c:pt>
                <c:pt idx="11">
                  <c:v>34832.457194920054</c:v>
                </c:pt>
                <c:pt idx="12">
                  <c:v>37557.596137820692</c:v>
                </c:pt>
                <c:pt idx="13">
                  <c:v>38504.536894034507</c:v>
                </c:pt>
                <c:pt idx="14">
                  <c:v>39940.534105176608</c:v>
                </c:pt>
                <c:pt idx="15">
                  <c:v>40976.835035166274</c:v>
                </c:pt>
                <c:pt idx="16">
                  <c:v>42838.851679425781</c:v>
                </c:pt>
                <c:pt idx="17">
                  <c:v>44512.449972778079</c:v>
                </c:pt>
                <c:pt idx="18">
                  <c:v>46238.001855534945</c:v>
                </c:pt>
                <c:pt idx="19">
                  <c:v>49482.676692481196</c:v>
                </c:pt>
                <c:pt idx="20">
                  <c:v>54719.598504461064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4-487C-B806-F0C4AB4B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644864"/>
        <c:axId val="502641912"/>
      </c:lineChart>
      <c:lineChart>
        <c:grouping val="standard"/>
        <c:varyColors val="0"/>
        <c:ser>
          <c:idx val="2"/>
          <c:order val="1"/>
          <c:tx>
            <c:strRef>
              <c:f>Vergleich!$D$2</c:f>
              <c:strCache>
                <c:ptCount val="1"/>
                <c:pt idx="0">
                  <c:v>Nedime (Backer)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Vergleich!$D$3:$D$24</c:f>
              <c:numCache>
                <c:formatCode>#,##0</c:formatCode>
                <c:ptCount val="22"/>
                <c:pt idx="0">
                  <c:v>0</c:v>
                </c:pt>
                <c:pt idx="1">
                  <c:v>73</c:v>
                </c:pt>
                <c:pt idx="2">
                  <c:v>82</c:v>
                </c:pt>
                <c:pt idx="3">
                  <c:v>90</c:v>
                </c:pt>
                <c:pt idx="4">
                  <c:v>95</c:v>
                </c:pt>
                <c:pt idx="5">
                  <c:v>111</c:v>
                </c:pt>
                <c:pt idx="6">
                  <c:v>114.99999999999999</c:v>
                </c:pt>
                <c:pt idx="7">
                  <c:v>124</c:v>
                </c:pt>
                <c:pt idx="8">
                  <c:v>136</c:v>
                </c:pt>
                <c:pt idx="9">
                  <c:v>142</c:v>
                </c:pt>
                <c:pt idx="10">
                  <c:v>161</c:v>
                </c:pt>
                <c:pt idx="11">
                  <c:v>178</c:v>
                </c:pt>
                <c:pt idx="12">
                  <c:v>193</c:v>
                </c:pt>
                <c:pt idx="13">
                  <c:v>197</c:v>
                </c:pt>
                <c:pt idx="14">
                  <c:v>205</c:v>
                </c:pt>
                <c:pt idx="15">
                  <c:v>214</c:v>
                </c:pt>
                <c:pt idx="16">
                  <c:v>224</c:v>
                </c:pt>
                <c:pt idx="17">
                  <c:v>233</c:v>
                </c:pt>
                <c:pt idx="18">
                  <c:v>250</c:v>
                </c:pt>
                <c:pt idx="19">
                  <c:v>267</c:v>
                </c:pt>
                <c:pt idx="20">
                  <c:v>300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1-40A9-B8C8-DD6E3F7C80B9}"/>
            </c:ext>
          </c:extLst>
        </c:ser>
        <c:ser>
          <c:idx val="4"/>
          <c:order val="3"/>
          <c:tx>
            <c:strRef>
              <c:f>Vergleich!$F$2</c:f>
              <c:strCache>
                <c:ptCount val="1"/>
                <c:pt idx="0">
                  <c:v>Thorwal norm (Backer)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Vergleich!$F$3:$F$24</c:f>
              <c:numCache>
                <c:formatCode>#,##0</c:formatCode>
                <c:ptCount val="22"/>
                <c:pt idx="0">
                  <c:v>0</c:v>
                </c:pt>
                <c:pt idx="1">
                  <c:v>110.36895674300254</c:v>
                </c:pt>
                <c:pt idx="2">
                  <c:v>119.19847328244275</c:v>
                </c:pt>
                <c:pt idx="3">
                  <c:v>128.02798982188295</c:v>
                </c:pt>
                <c:pt idx="4">
                  <c:v>136.85750636132315</c:v>
                </c:pt>
                <c:pt idx="5">
                  <c:v>145.68702290076334</c:v>
                </c:pt>
                <c:pt idx="6">
                  <c:v>154.51653944020353</c:v>
                </c:pt>
                <c:pt idx="7">
                  <c:v>163.34605597964372</c:v>
                </c:pt>
                <c:pt idx="8">
                  <c:v>172.17557251908391</c:v>
                </c:pt>
                <c:pt idx="9">
                  <c:v>181.00508905852411</c:v>
                </c:pt>
                <c:pt idx="10">
                  <c:v>189.8346055979643</c:v>
                </c:pt>
                <c:pt idx="11">
                  <c:v>198.66412213740458</c:v>
                </c:pt>
                <c:pt idx="12">
                  <c:v>213.4977099236641</c:v>
                </c:pt>
                <c:pt idx="13">
                  <c:v>228.33129770992366</c:v>
                </c:pt>
                <c:pt idx="14">
                  <c:v>243.16488549618322</c:v>
                </c:pt>
                <c:pt idx="15">
                  <c:v>257.99847328244277</c:v>
                </c:pt>
                <c:pt idx="16">
                  <c:v>272.83206106870233</c:v>
                </c:pt>
                <c:pt idx="17">
                  <c:v>287.66564885496189</c:v>
                </c:pt>
                <c:pt idx="18">
                  <c:v>302.49923664122144</c:v>
                </c:pt>
                <c:pt idx="19">
                  <c:v>317.332824427481</c:v>
                </c:pt>
                <c:pt idx="20">
                  <c:v>332.16641221374056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1-40A9-B8C8-DD6E3F7C80B9}"/>
            </c:ext>
          </c:extLst>
        </c:ser>
        <c:ser>
          <c:idx val="6"/>
          <c:order val="5"/>
          <c:tx>
            <c:strRef>
              <c:f>Vergleich!$H$2</c:f>
              <c:strCache>
                <c:ptCount val="1"/>
                <c:pt idx="0">
                  <c:v>Werkzeuge norm (Backer)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Vergleich!$H$3:$H$24</c:f>
              <c:numCache>
                <c:formatCode>#,##0</c:formatCode>
                <c:ptCount val="22"/>
                <c:pt idx="0">
                  <c:v>0</c:v>
                </c:pt>
                <c:pt idx="1">
                  <c:v>82.160052910052912</c:v>
                </c:pt>
                <c:pt idx="2">
                  <c:v>94.55291005291005</c:v>
                </c:pt>
                <c:pt idx="3">
                  <c:v>102.81481481481481</c:v>
                </c:pt>
                <c:pt idx="4">
                  <c:v>113.37169312169313</c:v>
                </c:pt>
                <c:pt idx="5">
                  <c:v>121.17460317460316</c:v>
                </c:pt>
                <c:pt idx="6">
                  <c:v>125.76455026455027</c:v>
                </c:pt>
                <c:pt idx="7">
                  <c:v>135.40343915343917</c:v>
                </c:pt>
                <c:pt idx="8">
                  <c:v>141.37037037037035</c:v>
                </c:pt>
                <c:pt idx="9">
                  <c:v>151.00925925925927</c:v>
                </c:pt>
                <c:pt idx="10">
                  <c:v>160.64814814814815</c:v>
                </c:pt>
                <c:pt idx="11">
                  <c:v>163.40211640211641</c:v>
                </c:pt>
                <c:pt idx="12">
                  <c:v>170.28703703703704</c:v>
                </c:pt>
                <c:pt idx="13">
                  <c:v>177.17195767195767</c:v>
                </c:pt>
                <c:pt idx="14">
                  <c:v>184.97486772486772</c:v>
                </c:pt>
                <c:pt idx="15">
                  <c:v>193.69576719576722</c:v>
                </c:pt>
                <c:pt idx="16">
                  <c:v>204.25264550264549</c:v>
                </c:pt>
                <c:pt idx="17">
                  <c:v>216.18650793650795</c:v>
                </c:pt>
                <c:pt idx="18">
                  <c:v>229.95634920634919</c:v>
                </c:pt>
                <c:pt idx="19">
                  <c:v>246.48015873015873</c:v>
                </c:pt>
                <c:pt idx="20">
                  <c:v>264.38095238095235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51-40A9-B8C8-DD6E3F7C80B9}"/>
            </c:ext>
          </c:extLst>
        </c:ser>
        <c:ser>
          <c:idx val="7"/>
          <c:order val="7"/>
          <c:tx>
            <c:strRef>
              <c:f>Vergleich!$J$2</c:f>
              <c:strCache>
                <c:ptCount val="1"/>
                <c:pt idx="0">
                  <c:v>Mythos norm (Backer)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Vergleich!$J$3:$J$24</c:f>
              <c:numCache>
                <c:formatCode>#,##0</c:formatCode>
                <c:ptCount val="22"/>
                <c:pt idx="0">
                  <c:v>0</c:v>
                </c:pt>
                <c:pt idx="1">
                  <c:v>48.804500703234879</c:v>
                </c:pt>
                <c:pt idx="2">
                  <c:v>97.609001406469758</c:v>
                </c:pt>
                <c:pt idx="3">
                  <c:v>146.41350210970464</c:v>
                </c:pt>
                <c:pt idx="4">
                  <c:v>157.55719643694326</c:v>
                </c:pt>
                <c:pt idx="5">
                  <c:v>168.70089076418188</c:v>
                </c:pt>
                <c:pt idx="6">
                  <c:v>179.84458509142053</c:v>
                </c:pt>
                <c:pt idx="7">
                  <c:v>190.98827941865915</c:v>
                </c:pt>
                <c:pt idx="8">
                  <c:v>202.13197374589777</c:v>
                </c:pt>
                <c:pt idx="9">
                  <c:v>213.27566807313639</c:v>
                </c:pt>
                <c:pt idx="10">
                  <c:v>224.41936240037501</c:v>
                </c:pt>
                <c:pt idx="11">
                  <c:v>235.56305672761363</c:v>
                </c:pt>
                <c:pt idx="12">
                  <c:v>246.70675105485225</c:v>
                </c:pt>
                <c:pt idx="13">
                  <c:v>257.85044538209087</c:v>
                </c:pt>
                <c:pt idx="14">
                  <c:v>268.99413970932949</c:v>
                </c:pt>
                <c:pt idx="15">
                  <c:v>280.13783403656817</c:v>
                </c:pt>
                <c:pt idx="16">
                  <c:v>291.28152836380679</c:v>
                </c:pt>
                <c:pt idx="17">
                  <c:v>302.42522269104546</c:v>
                </c:pt>
                <c:pt idx="18">
                  <c:v>313.56891701828408</c:v>
                </c:pt>
                <c:pt idx="19">
                  <c:v>324.71261134552276</c:v>
                </c:pt>
                <c:pt idx="20">
                  <c:v>335.85630567276144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1-40A9-B8C8-DD6E3F7C80B9}"/>
            </c:ext>
          </c:extLst>
        </c:ser>
        <c:ser>
          <c:idx val="9"/>
          <c:order val="8"/>
          <c:tx>
            <c:strRef>
              <c:f>Vergleich!$L$2</c:f>
              <c:strCache>
                <c:ptCount val="1"/>
                <c:pt idx="0">
                  <c:v>DSK norm (Backer)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Vergleich!$L$3:$L$24</c:f>
              <c:numCache>
                <c:formatCode>#,##0</c:formatCode>
                <c:ptCount val="22"/>
                <c:pt idx="0">
                  <c:v>0</c:v>
                </c:pt>
                <c:pt idx="1">
                  <c:v>103.14786585365853</c:v>
                </c:pt>
                <c:pt idx="2">
                  <c:v>123.24847560975608</c:v>
                </c:pt>
                <c:pt idx="3">
                  <c:v>131.1829268292683</c:v>
                </c:pt>
                <c:pt idx="4">
                  <c:v>139.64634146341464</c:v>
                </c:pt>
                <c:pt idx="5">
                  <c:v>148.10975609756096</c:v>
                </c:pt>
                <c:pt idx="6">
                  <c:v>155.51524390243904</c:v>
                </c:pt>
                <c:pt idx="7">
                  <c:v>162.92073170731706</c:v>
                </c:pt>
                <c:pt idx="8">
                  <c:v>171.91310975609755</c:v>
                </c:pt>
                <c:pt idx="9">
                  <c:v>185.13719512195124</c:v>
                </c:pt>
                <c:pt idx="10">
                  <c:v>195.1875</c:v>
                </c:pt>
                <c:pt idx="11">
                  <c:v>204.17987804878047</c:v>
                </c:pt>
                <c:pt idx="12">
                  <c:v>208.94054878048783</c:v>
                </c:pt>
                <c:pt idx="13">
                  <c:v>216.875</c:v>
                </c:pt>
                <c:pt idx="14">
                  <c:v>220.57774390243901</c:v>
                </c:pt>
                <c:pt idx="15">
                  <c:v>225.86737804878047</c:v>
                </c:pt>
                <c:pt idx="16">
                  <c:v>234.85975609756099</c:v>
                </c:pt>
                <c:pt idx="17">
                  <c:v>257.60518292682929</c:v>
                </c:pt>
                <c:pt idx="18">
                  <c:v>271.88719512195121</c:v>
                </c:pt>
                <c:pt idx="19">
                  <c:v>290.40091463414637</c:v>
                </c:pt>
                <c:pt idx="20">
                  <c:v>308.91463414634148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1-40A9-B8C8-DD6E3F7C80B9}"/>
            </c:ext>
          </c:extLst>
        </c:ser>
        <c:ser>
          <c:idx val="11"/>
          <c:order val="11"/>
          <c:tx>
            <c:strRef>
              <c:f>Vergleich!$N$2</c:f>
              <c:strCache>
                <c:ptCount val="1"/>
                <c:pt idx="0">
                  <c:v>Mythen norm (Backer)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Vergleich!$N$3:$N$24</c:f>
              <c:numCache>
                <c:formatCode>#,##0</c:formatCode>
                <c:ptCount val="22"/>
                <c:pt idx="0">
                  <c:v>0</c:v>
                </c:pt>
                <c:pt idx="1">
                  <c:v>80.453629032258064</c:v>
                </c:pt>
                <c:pt idx="2">
                  <c:v>101.44153225806453</c:v>
                </c:pt>
                <c:pt idx="3">
                  <c:v>113.33467741935483</c:v>
                </c:pt>
                <c:pt idx="4">
                  <c:v>124.52822580645162</c:v>
                </c:pt>
                <c:pt idx="5">
                  <c:v>133.62298387096774</c:v>
                </c:pt>
                <c:pt idx="6">
                  <c:v>153.91129032258064</c:v>
                </c:pt>
                <c:pt idx="7">
                  <c:v>165.10483870967744</c:v>
                </c:pt>
                <c:pt idx="8">
                  <c:v>176.99798387096777</c:v>
                </c:pt>
                <c:pt idx="9">
                  <c:v>186.79233870967744</c:v>
                </c:pt>
                <c:pt idx="10">
                  <c:v>197.28629032258067</c:v>
                </c:pt>
                <c:pt idx="11">
                  <c:v>203.58266129032256</c:v>
                </c:pt>
                <c:pt idx="12">
                  <c:v>217.57459677419357</c:v>
                </c:pt>
                <c:pt idx="13">
                  <c:v>223.17137096774195</c:v>
                </c:pt>
                <c:pt idx="14">
                  <c:v>230.86693548387095</c:v>
                </c:pt>
                <c:pt idx="15">
                  <c:v>235.76411290322582</c:v>
                </c:pt>
                <c:pt idx="16">
                  <c:v>244.15927419354838</c:v>
                </c:pt>
                <c:pt idx="17">
                  <c:v>253.95362903225805</c:v>
                </c:pt>
                <c:pt idx="18">
                  <c:v>263.74798387096774</c:v>
                </c:pt>
                <c:pt idx="19">
                  <c:v>280.53830645161293</c:v>
                </c:pt>
                <c:pt idx="20">
                  <c:v>307.82258064516128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4-487C-B806-F0C4AB4B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508600"/>
        <c:axId val="568508928"/>
      </c:lineChart>
      <c:catAx>
        <c:axId val="5026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1912"/>
        <c:crosses val="autoZero"/>
        <c:auto val="1"/>
        <c:lblAlgn val="ctr"/>
        <c:lblOffset val="100"/>
        <c:noMultiLvlLbl val="0"/>
      </c:catAx>
      <c:valAx>
        <c:axId val="50264191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4864"/>
        <c:crosses val="autoZero"/>
        <c:crossBetween val="between"/>
        <c:majorUnit val="5000"/>
      </c:valAx>
      <c:valAx>
        <c:axId val="568508928"/>
        <c:scaling>
          <c:orientation val="minMax"/>
          <c:max val="7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8508600"/>
        <c:crosses val="max"/>
        <c:crossBetween val="between"/>
        <c:majorUnit val="50"/>
      </c:valAx>
      <c:catAx>
        <c:axId val="568508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850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jpg"/><Relationship Id="rId2" Type="http://schemas.openxmlformats.org/officeDocument/2006/relationships/image" Target="../media/image1.png"/><Relationship Id="rId1" Type="http://schemas.openxmlformats.org/officeDocument/2006/relationships/hyperlink" Target="https://hinterdemauge.blogspot.com/p/aventuria-guide.html" TargetMode="External"/><Relationship Id="rId6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60854</xdr:colOff>
      <xdr:row>191</xdr:row>
      <xdr:rowOff>56885</xdr:rowOff>
    </xdr:from>
    <xdr:to>
      <xdr:col>11</xdr:col>
      <xdr:colOff>0</xdr:colOff>
      <xdr:row>198</xdr:row>
      <xdr:rowOff>99219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2A2DF1A-BAA4-4851-AB48-5B80266E9280}"/>
            </a:ext>
          </a:extLst>
        </xdr:cNvPr>
        <xdr:cNvSpPr txBox="1"/>
      </xdr:nvSpPr>
      <xdr:spPr>
        <a:xfrm>
          <a:off x="144198" y="30739291"/>
          <a:ext cx="16652875" cy="1542522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 baseline="0"/>
            <a:t>Dieser Einkaufsführer ist eine rein private Geschichte und </a:t>
          </a:r>
          <a:r>
            <a:rPr lang="de-DE" sz="1400" b="1" u="sng" baseline="0"/>
            <a:t>ohne Gewähr</a:t>
          </a:r>
          <a:r>
            <a:rPr lang="de-DE" sz="1400" b="1" baseline="0"/>
            <a:t> auf Vollständigkeit und 100%ige Korrektheit!</a:t>
          </a:r>
        </a:p>
        <a:p>
          <a:endParaRPr lang="de-DE" sz="800" b="1" baseline="0"/>
        </a:p>
        <a:p>
          <a:r>
            <a:rPr lang="de-DE" sz="1400" b="1" baseline="0"/>
            <a:t>Bei Fehlern meinerseits ist NICHT Ulisses dafür verantwortlich zu machen! Und ich bitte auch nicht ;)</a:t>
          </a:r>
        </a:p>
        <a:p>
          <a:r>
            <a:rPr lang="de-DE" sz="1400" b="1" baseline="0"/>
            <a:t>Ihr dürft mir Fehler aber sehr gerne in den CF-Kommentaren, in meinem Blog oder Discord, bei Facebook oder im Orkenspalter-Forum melden!</a:t>
          </a:r>
        </a:p>
        <a:p>
          <a:endParaRPr lang="de-DE" sz="800" b="1" baseline="0"/>
        </a:p>
        <a:p>
          <a:r>
            <a:rPr lang="de-DE" sz="1400" b="1" baseline="0"/>
            <a:t>Und nun gemeinsam auf ins Abenteuer!</a:t>
          </a:r>
        </a:p>
        <a:p>
          <a:r>
            <a:rPr lang="de-DE" sz="1400" b="1"/>
            <a:t>Euer GTStar	von Hinter dem Auge</a:t>
          </a:r>
          <a:r>
            <a:rPr lang="de-DE" sz="1400" b="1" baseline="0"/>
            <a:t> ...der DSA-Info-Podcast</a:t>
          </a:r>
          <a:r>
            <a:rPr lang="de-DE" sz="1400" b="1"/>
            <a:t>								</a:t>
          </a:r>
          <a:r>
            <a:rPr lang="de-DE" sz="300" b="1"/>
            <a:t>Wer das liest ist neugierig ;)</a:t>
          </a:r>
        </a:p>
      </xdr:txBody>
    </xdr:sp>
    <xdr:clientData/>
  </xdr:twoCellAnchor>
  <xdr:twoCellAnchor editAs="oneCell">
    <xdr:from>
      <xdr:col>12</xdr:col>
      <xdr:colOff>133350</xdr:colOff>
      <xdr:row>6</xdr:row>
      <xdr:rowOff>45606</xdr:rowOff>
    </xdr:from>
    <xdr:to>
      <xdr:col>14</xdr:col>
      <xdr:colOff>1615016</xdr:colOff>
      <xdr:row>12</xdr:row>
      <xdr:rowOff>168686</xdr:rowOff>
    </xdr:to>
    <xdr:pic>
      <xdr:nvPicPr>
        <xdr:cNvPr id="30" name="Grafik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4CD68-188A-4A5E-A26E-6F115244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0550" y="521856"/>
          <a:ext cx="2681816" cy="2675780"/>
        </a:xfrm>
        <a:prstGeom prst="rect">
          <a:avLst/>
        </a:prstGeom>
      </xdr:spPr>
    </xdr:pic>
    <xdr:clientData/>
  </xdr:twoCellAnchor>
  <xdr:twoCellAnchor>
    <xdr:from>
      <xdr:col>1</xdr:col>
      <xdr:colOff>71436</xdr:colOff>
      <xdr:row>167</xdr:row>
      <xdr:rowOff>105832</xdr:rowOff>
    </xdr:from>
    <xdr:to>
      <xdr:col>3</xdr:col>
      <xdr:colOff>1369218</xdr:colOff>
      <xdr:row>190</xdr:row>
      <xdr:rowOff>107155</xdr:rowOff>
    </xdr:to>
    <xdr:graphicFrame macro="">
      <xdr:nvGraphicFramePr>
        <xdr:cNvPr id="44" name="Diagramm 43">
          <a:extLst>
            <a:ext uri="{FF2B5EF4-FFF2-40B4-BE49-F238E27FC236}">
              <a16:creationId xmlns:a16="http://schemas.microsoft.com/office/drawing/2014/main" id="{A89B5485-9BAF-4F11-ABE9-4732FBF5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7</xdr:col>
      <xdr:colOff>472848</xdr:colOff>
      <xdr:row>10</xdr:row>
      <xdr:rowOff>402165</xdr:rowOff>
    </xdr:from>
    <xdr:ext cx="317392" cy="317392"/>
    <xdr:pic>
      <xdr:nvPicPr>
        <xdr:cNvPr id="39" name="Grafik 38" descr="campaign image 6">
          <a:extLst>
            <a:ext uri="{FF2B5EF4-FFF2-40B4-BE49-F238E27FC236}">
              <a16:creationId xmlns:a16="http://schemas.microsoft.com/office/drawing/2014/main" id="{EDDDD127-9574-4967-97C5-5CE95902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7598" y="228811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87841</xdr:colOff>
      <xdr:row>10</xdr:row>
      <xdr:rowOff>398688</xdr:rowOff>
    </xdr:from>
    <xdr:to>
      <xdr:col>7</xdr:col>
      <xdr:colOff>408227</xdr:colOff>
      <xdr:row>11</xdr:row>
      <xdr:rowOff>260527</xdr:rowOff>
    </xdr:to>
    <xdr:pic>
      <xdr:nvPicPr>
        <xdr:cNvPr id="40" name="Grafik 39" descr="Loddari">
          <a:extLst>
            <a:ext uri="{FF2B5EF4-FFF2-40B4-BE49-F238E27FC236}">
              <a16:creationId xmlns:a16="http://schemas.microsoft.com/office/drawing/2014/main" id="{CED83DD0-D8EC-42AA-957C-FD07C6A51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2591" y="2284638"/>
          <a:ext cx="320386" cy="319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1190624</xdr:colOff>
      <xdr:row>94</xdr:row>
      <xdr:rowOff>200025</xdr:rowOff>
    </xdr:from>
    <xdr:ext cx="317392" cy="317392"/>
    <xdr:pic>
      <xdr:nvPicPr>
        <xdr:cNvPr id="49" name="Grafik 48" descr="campaign image 6">
          <a:extLst>
            <a:ext uri="{FF2B5EF4-FFF2-40B4-BE49-F238E27FC236}">
              <a16:creationId xmlns:a16="http://schemas.microsoft.com/office/drawing/2014/main" id="{C42BDB7D-E636-4967-A691-8812A1FE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4" y="8629650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45</xdr:col>
      <xdr:colOff>196453</xdr:colOff>
      <xdr:row>212</xdr:row>
      <xdr:rowOff>152399</xdr:rowOff>
    </xdr:from>
    <xdr:to>
      <xdr:col>59</xdr:col>
      <xdr:colOff>523875</xdr:colOff>
      <xdr:row>255</xdr:row>
      <xdr:rowOff>11906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027FC00-2D44-44A3-9880-9030337EC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8</xdr:col>
      <xdr:colOff>472848</xdr:colOff>
      <xdr:row>10</xdr:row>
      <xdr:rowOff>392640</xdr:rowOff>
    </xdr:from>
    <xdr:ext cx="317392" cy="317392"/>
    <xdr:pic>
      <xdr:nvPicPr>
        <xdr:cNvPr id="16" name="Grafik 15" descr="campaign image 6">
          <a:extLst>
            <a:ext uri="{FF2B5EF4-FFF2-40B4-BE49-F238E27FC236}">
              <a16:creationId xmlns:a16="http://schemas.microsoft.com/office/drawing/2014/main" id="{C47511E2-D98F-46F9-9863-B194020BD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6273" y="2278590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68791</xdr:colOff>
      <xdr:row>10</xdr:row>
      <xdr:rowOff>398688</xdr:rowOff>
    </xdr:from>
    <xdr:ext cx="320386" cy="315864"/>
    <xdr:pic>
      <xdr:nvPicPr>
        <xdr:cNvPr id="17" name="Grafik 16" descr="Loddari">
          <a:extLst>
            <a:ext uri="{FF2B5EF4-FFF2-40B4-BE49-F238E27FC236}">
              <a16:creationId xmlns:a16="http://schemas.microsoft.com/office/drawing/2014/main" id="{BCE75B0C-79E2-4638-A4D7-190FDB6D9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2216" y="22846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2295526</xdr:colOff>
      <xdr:row>7</xdr:row>
      <xdr:rowOff>0</xdr:rowOff>
    </xdr:from>
    <xdr:to>
      <xdr:col>2</xdr:col>
      <xdr:colOff>5438006</xdr:colOff>
      <xdr:row>12</xdr:row>
      <xdr:rowOff>222621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71795A2-EB73-485A-82CF-F91CE408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6" y="714375"/>
          <a:ext cx="3142480" cy="2537196"/>
        </a:xfrm>
        <a:prstGeom prst="rect">
          <a:avLst/>
        </a:prstGeom>
      </xdr:spPr>
    </xdr:pic>
    <xdr:clientData/>
  </xdr:twoCellAnchor>
  <xdr:oneCellAnchor>
    <xdr:from>
      <xdr:col>6</xdr:col>
      <xdr:colOff>472848</xdr:colOff>
      <xdr:row>10</xdr:row>
      <xdr:rowOff>402165</xdr:rowOff>
    </xdr:from>
    <xdr:ext cx="317392" cy="317392"/>
    <xdr:pic>
      <xdr:nvPicPr>
        <xdr:cNvPr id="18" name="Grafik 17" descr="campaign image 6">
          <a:extLst>
            <a:ext uri="{FF2B5EF4-FFF2-40B4-BE49-F238E27FC236}">
              <a16:creationId xmlns:a16="http://schemas.microsoft.com/office/drawing/2014/main" id="{113C6E64-C1F7-49D0-AC01-E93E0D67E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8923" y="228811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87841</xdr:colOff>
      <xdr:row>10</xdr:row>
      <xdr:rowOff>398688</xdr:rowOff>
    </xdr:from>
    <xdr:ext cx="320386" cy="315864"/>
    <xdr:pic>
      <xdr:nvPicPr>
        <xdr:cNvPr id="19" name="Grafik 18" descr="Loddari">
          <a:extLst>
            <a:ext uri="{FF2B5EF4-FFF2-40B4-BE49-F238E27FC236}">
              <a16:creationId xmlns:a16="http://schemas.microsoft.com/office/drawing/2014/main" id="{54398ABF-5249-4C45-AB98-8FC1BCEF8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3916" y="22846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243417</xdr:colOff>
      <xdr:row>11</xdr:row>
      <xdr:rowOff>274109</xdr:rowOff>
    </xdr:from>
    <xdr:to>
      <xdr:col>8</xdr:col>
      <xdr:colOff>555146</xdr:colOff>
      <xdr:row>11</xdr:row>
      <xdr:rowOff>585838</xdr:rowOff>
    </xdr:to>
    <xdr:pic>
      <xdr:nvPicPr>
        <xdr:cNvPr id="20" name="Grafik 19" descr="campaign image 7">
          <a:extLst>
            <a:ext uri="{FF2B5EF4-FFF2-40B4-BE49-F238E27FC236}">
              <a16:creationId xmlns:a16="http://schemas.microsoft.com/office/drawing/2014/main" id="{E305F2A3-C620-4037-ADBC-434A236F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842" y="2626784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425223</xdr:colOff>
      <xdr:row>10</xdr:row>
      <xdr:rowOff>392640</xdr:rowOff>
    </xdr:from>
    <xdr:ext cx="317392" cy="317392"/>
    <xdr:pic>
      <xdr:nvPicPr>
        <xdr:cNvPr id="21" name="Grafik 20" descr="campaign image 6">
          <a:extLst>
            <a:ext uri="{FF2B5EF4-FFF2-40B4-BE49-F238E27FC236}">
              <a16:creationId xmlns:a16="http://schemas.microsoft.com/office/drawing/2014/main" id="{738054E1-EAC6-49E3-A47E-5F0691EA5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323" y="2278590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40216</xdr:colOff>
      <xdr:row>10</xdr:row>
      <xdr:rowOff>398688</xdr:rowOff>
    </xdr:from>
    <xdr:ext cx="320386" cy="315864"/>
    <xdr:pic>
      <xdr:nvPicPr>
        <xdr:cNvPr id="22" name="Grafik 21" descr="Loddari">
          <a:extLst>
            <a:ext uri="{FF2B5EF4-FFF2-40B4-BE49-F238E27FC236}">
              <a16:creationId xmlns:a16="http://schemas.microsoft.com/office/drawing/2014/main" id="{4E4AD2F2-0C19-4299-BB79-557A49EA1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2316" y="22846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243417</xdr:colOff>
      <xdr:row>11</xdr:row>
      <xdr:rowOff>274109</xdr:rowOff>
    </xdr:from>
    <xdr:ext cx="311729" cy="311729"/>
    <xdr:pic>
      <xdr:nvPicPr>
        <xdr:cNvPr id="23" name="Grafik 22" descr="campaign image 7">
          <a:extLst>
            <a:ext uri="{FF2B5EF4-FFF2-40B4-BE49-F238E27FC236}">
              <a16:creationId xmlns:a16="http://schemas.microsoft.com/office/drawing/2014/main" id="{C78714EA-A23B-4000-9EC5-C47B143A1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5517" y="2626784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425223</xdr:colOff>
      <xdr:row>10</xdr:row>
      <xdr:rowOff>392640</xdr:rowOff>
    </xdr:from>
    <xdr:ext cx="317392" cy="317392"/>
    <xdr:pic>
      <xdr:nvPicPr>
        <xdr:cNvPr id="24" name="Grafik 23" descr="campaign image 6">
          <a:extLst>
            <a:ext uri="{FF2B5EF4-FFF2-40B4-BE49-F238E27FC236}">
              <a16:creationId xmlns:a16="http://schemas.microsoft.com/office/drawing/2014/main" id="{50FF1384-0636-459F-90E9-E3801460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998" y="2278590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40216</xdr:colOff>
      <xdr:row>10</xdr:row>
      <xdr:rowOff>398688</xdr:rowOff>
    </xdr:from>
    <xdr:ext cx="320386" cy="315864"/>
    <xdr:pic>
      <xdr:nvPicPr>
        <xdr:cNvPr id="25" name="Grafik 24" descr="Loddari">
          <a:extLst>
            <a:ext uri="{FF2B5EF4-FFF2-40B4-BE49-F238E27FC236}">
              <a16:creationId xmlns:a16="http://schemas.microsoft.com/office/drawing/2014/main" id="{432B59F2-1A4E-4301-9D16-C6DB5500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0991" y="22846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243417</xdr:colOff>
      <xdr:row>11</xdr:row>
      <xdr:rowOff>274109</xdr:rowOff>
    </xdr:from>
    <xdr:ext cx="311729" cy="311729"/>
    <xdr:pic>
      <xdr:nvPicPr>
        <xdr:cNvPr id="26" name="Grafik 25" descr="campaign image 7">
          <a:extLst>
            <a:ext uri="{FF2B5EF4-FFF2-40B4-BE49-F238E27FC236}">
              <a16:creationId xmlns:a16="http://schemas.microsoft.com/office/drawing/2014/main" id="{AC35A3A6-073E-4303-93B8-E2EF3AFDA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4192" y="2626784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633942</xdr:colOff>
      <xdr:row>103</xdr:row>
      <xdr:rowOff>186266</xdr:rowOff>
    </xdr:from>
    <xdr:to>
      <xdr:col>2</xdr:col>
      <xdr:colOff>945671</xdr:colOff>
      <xdr:row>105</xdr:row>
      <xdr:rowOff>45028</xdr:rowOff>
    </xdr:to>
    <xdr:pic>
      <xdr:nvPicPr>
        <xdr:cNvPr id="27" name="Grafik 26" descr="campaign image 7">
          <a:extLst>
            <a:ext uri="{FF2B5EF4-FFF2-40B4-BE49-F238E27FC236}">
              <a16:creationId xmlns:a16="http://schemas.microsoft.com/office/drawing/2014/main" id="{FF0914C2-56B9-40FE-8F22-FF79DA124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692" y="9987491"/>
          <a:ext cx="311729" cy="31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666750</xdr:colOff>
      <xdr:row>132</xdr:row>
      <xdr:rowOff>190500</xdr:rowOff>
    </xdr:from>
    <xdr:ext cx="320386" cy="315864"/>
    <xdr:pic>
      <xdr:nvPicPr>
        <xdr:cNvPr id="47" name="Grafik 46" descr="Loddari">
          <a:extLst>
            <a:ext uri="{FF2B5EF4-FFF2-40B4-BE49-F238E27FC236}">
              <a16:creationId xmlns:a16="http://schemas.microsoft.com/office/drawing/2014/main" id="{07B648B9-19E8-4DDD-A72F-43548860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6983075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248702</xdr:colOff>
      <xdr:row>10</xdr:row>
      <xdr:rowOff>398688</xdr:rowOff>
    </xdr:from>
    <xdr:ext cx="320386" cy="315864"/>
    <xdr:pic>
      <xdr:nvPicPr>
        <xdr:cNvPr id="35" name="Grafik 34" descr="Loddari">
          <a:extLst>
            <a:ext uri="{FF2B5EF4-FFF2-40B4-BE49-F238E27FC236}">
              <a16:creationId xmlns:a16="http://schemas.microsoft.com/office/drawing/2014/main" id="{C6E70D87-D40B-493F-8690-FA9090D4C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6102" y="22846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723899</xdr:colOff>
      <xdr:row>27</xdr:row>
      <xdr:rowOff>33336</xdr:rowOff>
    </xdr:from>
    <xdr:to>
      <xdr:col>17</xdr:col>
      <xdr:colOff>714374</xdr:colOff>
      <xdr:row>52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386C9BA-881E-46C9-8576-20415BCC7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E6C9E0-F6F6-45FF-A5D1-EBE4C7FC0B79}" name="Tabelle2" displayName="Tabelle2" ref="F15:I36" totalsRowShown="0" headerRowDxfId="84" dataDxfId="83" tableBorderDxfId="82">
  <autoFilter ref="F15:I36" xr:uid="{7E5D117A-5BCD-41C7-9378-1146F36C69B4}"/>
  <sortState xmlns:xlrd2="http://schemas.microsoft.com/office/spreadsheetml/2017/richdata2" ref="F16:I36">
    <sortCondition descending="1" ref="G15:G36"/>
  </sortState>
  <tableColumns count="4">
    <tableColumn id="1" xr3:uid="{3BF4B4A5-763F-44D6-82F2-633AF2B5A661}" name="Tag" dataDxfId="81"/>
    <tableColumn id="2" xr3:uid="{C2C59895-AB02-4E18-B5B3-A6018F118014}" name="€" dataDxfId="80">
      <calculatedColumnFormula>VLOOKUP(F16,$R$169:$AB$190,11,FALSE)</calculatedColumnFormula>
    </tableColumn>
    <tableColumn id="3" xr3:uid="{E1A7CA4C-C663-4044-B496-19D15B31B27D}" name="Backer" dataDxfId="79">
      <calculatedColumnFormula>VLOOKUP(F16,$R$169:$AA$190,10,FALSE)</calculatedColumnFormula>
    </tableColumn>
    <tableColumn id="4" xr3:uid="{628BDD77-5B3E-47FF-80AF-C00DB68B39F0}" name="€/Backer" dataDxfId="78">
      <calculatedColumnFormula>IFERROR(Sonnenküste!$G16/Sonnenküste!$H16,"")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EA9654-149B-455B-B037-D0C330FFD6EF}" name="Tabelle3" displayName="Tabelle3" ref="B2:AH24" totalsRowShown="0" headerRowDxfId="77">
  <autoFilter ref="B2:AH24" xr:uid="{27422959-90AD-4338-8C23-E3B9F7316881}"/>
  <tableColumns count="33">
    <tableColumn id="1" xr3:uid="{F20F49F8-6EB7-43C1-9922-F620A023E7F0}" name="Tag"/>
    <tableColumn id="2" xr3:uid="{6971CB83-29C8-475B-A31E-D387F03E1C07}" name="Nedime (€)" dataDxfId="76"/>
    <tableColumn id="3" xr3:uid="{F664882F-3BD9-41DE-A643-1C890FC1B073}" name="Nedime (Backer)" dataDxfId="75"/>
    <tableColumn id="4" xr3:uid="{6F8F036B-D5DC-4216-84F0-2BEBB08CBACA}" name="Thorwal norm (€)" dataDxfId="74"/>
    <tableColumn id="5" xr3:uid="{FD2FB521-94BA-46E4-A5EA-A7CEFF140F9A}" name="Thorwal norm (Backer)" dataDxfId="73"/>
    <tableColumn id="6" xr3:uid="{25BEFAD5-BE69-4A80-ABD3-5577E99AE16C}" name="Werkzeuge norm (€)" dataDxfId="72"/>
    <tableColumn id="7" xr3:uid="{AF4584B6-52C3-49C8-9E39-F43C0B8FEB14}" name="Werkzeuge norm (Backer)" dataDxfId="71"/>
    <tableColumn id="22" xr3:uid="{266EF583-8DD5-4805-B391-903ED2BAC519}" name="Mythos norm (€)" dataDxfId="70"/>
    <tableColumn id="23" xr3:uid="{3AB32905-68A3-4D5A-B37B-E5533823CB41}" name="Mythos norm (Backer)" dataDxfId="69"/>
    <tableColumn id="28" xr3:uid="{48AFB569-0998-4E2C-8C85-86F96730174E}" name="DSK norm (€)" dataDxfId="68"/>
    <tableColumn id="27" xr3:uid="{E47209D4-64AB-4094-A811-0DF73184FDC3}" name="DSK norm (Backer)" dataDxfId="67"/>
    <tableColumn id="30" xr3:uid="{1CA79BBE-302A-4822-AE79-917DFA78E074}" name="Mythen norm (€)" dataDxfId="66"/>
    <tableColumn id="31" xr3:uid="{6670A725-1507-4497-9A0C-43A65D0B6954}" name="Mythen norm (Backer)" dataDxfId="65"/>
    <tableColumn id="8" xr3:uid="{2114D7A1-DEA0-40EE-9B8B-0A668EFEB97B}" name="Thorwal (€)" dataDxfId="64"/>
    <tableColumn id="9" xr3:uid="{9A9EB59B-6CA6-4F08-B68D-0962E0D83338}" name="Thorwal (Backer)" dataDxfId="63"/>
    <tableColumn id="10" xr3:uid="{DF5363C3-935A-49F1-B72D-9DF733CE4302}" name="Werkzeuge (€)" dataDxfId="62"/>
    <tableColumn id="11" xr3:uid="{4CFD1B7C-52BE-49FD-B7F5-1D7A36D73889}" name="Werkzeuge (Backer)" dataDxfId="61"/>
    <tableColumn id="18" xr3:uid="{C732132C-C661-400E-A33E-810D292F34AA}" name="Mythos (€)" dataDxfId="60"/>
    <tableColumn id="19" xr3:uid="{90EA6656-0F6B-435F-8A50-D1F413A22B34}" name="Mythos (Backer)" dataDxfId="59"/>
    <tableColumn id="26" xr3:uid="{F4AEE733-FE50-4D43-B8B6-2CFA99AA7EE6}" name="DSK (€)" dataDxfId="58"/>
    <tableColumn id="29" xr3:uid="{519C5630-D167-4EFA-B84F-F9BC19E907B3}" name="DSK (Backer)" dataDxfId="57"/>
    <tableColumn id="20" xr3:uid="{C33B8766-778A-4CBA-B6CD-11F696D9BF3F}" name="Mythen (€)" dataDxfId="56"/>
    <tableColumn id="21" xr3:uid="{7FE9A82A-5A08-46A8-A0C2-586311B74BB6}" name="Mythen (Backer)" dataDxfId="55"/>
    <tableColumn id="32" xr3:uid="{E4B16DC1-4EE4-4038-B4B5-B981FD62F8EA}" name="SOK (€)" dataDxfId="54"/>
    <tableColumn id="33" xr3:uid="{8EB42BB1-C038-48A6-A211-78A44E799A6C}" name="SOK (Backer)" dataDxfId="53"/>
    <tableColumn id="12" xr3:uid="{CE532E56-7537-4234-994D-EF5975A2D3B8}" name="Aventuria (€) %" dataDxfId="52">
      <calculatedColumnFormula>Tabelle3[[#This Row],[Nedime (€)]]/C$24</calculatedColumnFormula>
    </tableColumn>
    <tableColumn id="13" xr3:uid="{6E91BB61-A019-4B20-A7F5-D01EA616EE80}" name="Aventuria (Backer) %" dataDxfId="51">
      <calculatedColumnFormula>Tabelle3[[#This Row],[Nedime (Backer)]]/D$24</calculatedColumnFormula>
    </tableColumn>
    <tableColumn id="14" xr3:uid="{FBF481DA-2BF3-4C7F-8B01-5CB18A4093B2}" name="Thorwal (€) %" dataDxfId="50">
      <calculatedColumnFormula>Tabelle3[[#This Row],[Thorwal (€)]]/O$24</calculatedColumnFormula>
    </tableColumn>
    <tableColumn id="15" xr3:uid="{B21023AA-7241-4A20-9F45-D78A9ACC5244}" name="Thorwal (Backer) %" dataDxfId="49">
      <calculatedColumnFormula>Tabelle3[[#This Row],[Thorwal (Backer)]]/P$24</calculatedColumnFormula>
    </tableColumn>
    <tableColumn id="16" xr3:uid="{DC7AD9E1-E99C-4261-9C20-A1E356A99AC0}" name="Werkzeuge (€) %" dataDxfId="48">
      <calculatedColumnFormula>Tabelle3[[#This Row],[Werkzeuge (€)]]/Q$24</calculatedColumnFormula>
    </tableColumn>
    <tableColumn id="17" xr3:uid="{BB027685-5D11-4F55-81EA-63B2D41CE363}" name="Werkzeuge (Backer) %" dataDxfId="47">
      <calculatedColumnFormula>Tabelle3[[#This Row],[Werkzeuge (Backer)]]/R$24</calculatedColumnFormula>
    </tableColumn>
    <tableColumn id="24" xr3:uid="{A23C8788-EEA7-4461-8240-391ABED3EBA3}" name="Mythos (€) %" dataDxfId="46">
      <calculatedColumnFormula>Tabelle3[[#This Row],[Mythos (€)]]/S$24</calculatedColumnFormula>
    </tableColumn>
    <tableColumn id="25" xr3:uid="{5DE909DD-E845-49F6-9E9A-EA884B351553}" name="Mthos (Backer) %" dataDxfId="45">
      <calculatedColumnFormula>Tabelle3[[#This Row],[Mythos (Backer)]]/T$24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hinterdemauge.blogspot.com/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www.gameontabletop.com/cf504/das-schwarze-auge-die-sonnenkuste.html" TargetMode="External"/><Relationship Id="rId1" Type="http://schemas.openxmlformats.org/officeDocument/2006/relationships/hyperlink" Target="https://hinterdemauge.blogspot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982B-0226-4FC4-B481-9BD26DD7F965}">
  <sheetPr>
    <pageSetUpPr fitToPage="1"/>
  </sheetPr>
  <dimension ref="A1:CI237"/>
  <sheetViews>
    <sheetView showGridLines="0" showZeros="0" tabSelected="1" zoomScaleNormal="100" workbookViewId="0">
      <pane xSplit="4" ySplit="14" topLeftCell="E15" activePane="bottomRight" state="frozen"/>
      <selection pane="topRight" activeCell="F1" sqref="F1"/>
      <selection pane="bottomLeft" activeCell="A6" sqref="A6"/>
      <selection pane="bottomRight" activeCell="AA195" sqref="AA195"/>
    </sheetView>
  </sheetViews>
  <sheetFormatPr baseColWidth="10" defaultRowHeight="18.75" outlineLevelRow="1" outlineLevelCol="2" x14ac:dyDescent="0.3"/>
  <cols>
    <col min="1" max="1" width="1.28515625" style="262" customWidth="1"/>
    <col min="2" max="2" width="20.140625" style="212" customWidth="1"/>
    <col min="3" max="3" width="85.7109375" style="116" customWidth="1"/>
    <col min="4" max="4" width="25.5703125" style="116" bestFit="1" customWidth="1"/>
    <col min="5" max="11" width="12.42578125" style="213" customWidth="1"/>
    <col min="12" max="12" width="10.7109375" style="214" customWidth="1"/>
    <col min="13" max="13" width="10.7109375" style="215" customWidth="1"/>
    <col min="14" max="14" width="7.28515625" style="248" customWidth="1"/>
    <col min="15" max="15" width="41.5703125" style="216" customWidth="1"/>
    <col min="16" max="16" width="11.42578125" style="225" hidden="1" customWidth="1" outlineLevel="2"/>
    <col min="17" max="17" width="11.42578125" style="47" hidden="1" customWidth="1" outlineLevel="1" collapsed="1"/>
    <col min="18" max="21" width="11.42578125" style="47" hidden="1" customWidth="1" outlineLevel="1"/>
    <col min="22" max="22" width="6.140625" style="47" hidden="1" customWidth="1" outlineLevel="2"/>
    <col min="23" max="23" width="7.28515625" style="47" hidden="1" customWidth="1" outlineLevel="1" collapsed="1"/>
    <col min="24" max="24" width="9.28515625" style="47" hidden="1" customWidth="1" outlineLevel="2"/>
    <col min="25" max="25" width="12.5703125" style="47" hidden="1" customWidth="1" outlineLevel="1" collapsed="1"/>
    <col min="26" max="28" width="11.42578125" style="47" hidden="1" customWidth="1" outlineLevel="1"/>
    <col min="29" max="29" width="11.42578125" style="48" hidden="1" customWidth="1" outlineLevel="1"/>
    <col min="30" max="31" width="11.42578125" style="47" hidden="1" customWidth="1" outlineLevel="1"/>
    <col min="32" max="32" width="14" style="47" hidden="1" customWidth="1" outlineLevel="1"/>
    <col min="33" max="35" width="11.42578125" style="67" hidden="1" customWidth="1" outlineLevel="1"/>
    <col min="36" max="36" width="11.42578125" style="47" hidden="1" customWidth="1" outlineLevel="1"/>
    <col min="37" max="39" width="11.42578125" style="67" hidden="1" customWidth="1" outlineLevel="1"/>
    <col min="40" max="47" width="11.42578125" style="47" hidden="1" customWidth="1" outlineLevel="1"/>
    <col min="48" max="49" width="11.42578125" style="48" hidden="1" customWidth="1" outlineLevel="1"/>
    <col min="50" max="51" width="11.42578125" style="47" hidden="1" customWidth="1" outlineLevel="1"/>
    <col min="52" max="53" width="11.42578125" style="48" hidden="1" customWidth="1" outlineLevel="1"/>
    <col min="54" max="55" width="11.42578125" style="47" hidden="1" customWidth="1" outlineLevel="1"/>
    <col min="56" max="57" width="11.42578125" style="48" hidden="1" customWidth="1" outlineLevel="1"/>
    <col min="58" max="58" width="11.28515625" style="47" hidden="1" customWidth="1" outlineLevel="1"/>
    <col min="59" max="60" width="11.42578125" style="47" hidden="1" customWidth="1" outlineLevel="1"/>
    <col min="61" max="62" width="11.42578125" style="48" hidden="1" customWidth="1" outlineLevel="1"/>
    <col min="63" max="63" width="11.42578125" style="49" hidden="1" customWidth="1" outlineLevel="1"/>
    <col min="64" max="64" width="11.42578125" style="47" hidden="1" customWidth="1" outlineLevel="1"/>
    <col min="65" max="65" width="11.42578125" style="262" collapsed="1"/>
    <col min="66" max="83" width="11.42578125" style="262"/>
    <col min="84" max="16384" width="11.42578125" style="116"/>
  </cols>
  <sheetData>
    <row r="1" spans="1:87" s="47" customFormat="1" ht="19.5" hidden="1" outlineLevel="1" thickBot="1" x14ac:dyDescent="0.35">
      <c r="B1" s="414"/>
      <c r="C1" s="70"/>
      <c r="D1" s="71"/>
      <c r="E1" s="73" t="s">
        <v>23</v>
      </c>
      <c r="F1" s="74">
        <v>221523</v>
      </c>
      <c r="G1" s="73" t="s">
        <v>24</v>
      </c>
      <c r="H1" s="77">
        <v>50</v>
      </c>
      <c r="I1" s="42" t="s">
        <v>25</v>
      </c>
      <c r="J1" s="82">
        <v>230000</v>
      </c>
      <c r="K1" s="90" t="s">
        <v>108</v>
      </c>
      <c r="L1" s="415"/>
      <c r="M1" s="416"/>
      <c r="N1" s="417"/>
      <c r="P1" s="225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67"/>
      <c r="AK1" s="67"/>
      <c r="AL1" s="67"/>
      <c r="AM1" s="67"/>
      <c r="AV1" s="48"/>
      <c r="AW1" s="48"/>
      <c r="AZ1" s="48"/>
      <c r="BA1" s="48"/>
      <c r="BD1" s="48"/>
      <c r="BE1" s="48"/>
      <c r="BI1" s="48"/>
      <c r="BJ1" s="48"/>
      <c r="BK1" s="49"/>
    </row>
    <row r="2" spans="1:87" s="47" customFormat="1" ht="19.5" hidden="1" outlineLevel="1" thickBot="1" x14ac:dyDescent="0.35">
      <c r="B2" s="414"/>
      <c r="E2" s="73" t="s">
        <v>22</v>
      </c>
      <c r="F2" s="77">
        <v>1550</v>
      </c>
      <c r="G2" s="73" t="s">
        <v>21</v>
      </c>
      <c r="H2" s="84">
        <v>44334</v>
      </c>
      <c r="I2" s="78" t="s">
        <v>40</v>
      </c>
      <c r="J2" s="85">
        <v>20</v>
      </c>
      <c r="K2" s="94">
        <f>SUM(F13:K13)</f>
        <v>1573</v>
      </c>
      <c r="L2" s="415"/>
      <c r="M2" s="416"/>
      <c r="N2" s="417"/>
      <c r="P2" s="225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67"/>
      <c r="AK2" s="67"/>
      <c r="AL2" s="67"/>
      <c r="AM2" s="67"/>
      <c r="AV2" s="48"/>
      <c r="AW2" s="48"/>
      <c r="AZ2" s="48"/>
      <c r="BA2" s="48"/>
      <c r="BD2" s="48"/>
      <c r="BE2" s="48"/>
      <c r="BI2" s="48"/>
      <c r="BJ2" s="48"/>
      <c r="BK2" s="49"/>
    </row>
    <row r="3" spans="1:87" s="47" customFormat="1" ht="19.5" hidden="1" outlineLevel="1" thickBot="1" x14ac:dyDescent="0.35">
      <c r="B3" s="414"/>
      <c r="E3" s="73" t="s">
        <v>157</v>
      </c>
      <c r="F3" s="80">
        <f>F1/F2</f>
        <v>142.91806451612902</v>
      </c>
      <c r="G3" s="73" t="s">
        <v>43</v>
      </c>
      <c r="H3" s="82" t="s">
        <v>341</v>
      </c>
      <c r="I3" s="78"/>
      <c r="J3" s="78"/>
      <c r="K3" s="427">
        <f>K2-F2</f>
        <v>23</v>
      </c>
      <c r="L3" s="415"/>
      <c r="M3" s="416"/>
      <c r="N3" s="417"/>
      <c r="P3" s="225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67"/>
      <c r="AK3" s="67"/>
      <c r="AL3" s="67"/>
      <c r="AM3" s="67"/>
      <c r="AV3" s="48"/>
      <c r="AW3" s="48"/>
      <c r="AZ3" s="48"/>
      <c r="BA3" s="48"/>
      <c r="BD3" s="48"/>
      <c r="BE3" s="48"/>
      <c r="BI3" s="48"/>
      <c r="BJ3" s="48"/>
      <c r="BK3" s="49"/>
    </row>
    <row r="4" spans="1:87" s="47" customFormat="1" ht="19.5" hidden="1" outlineLevel="1" thickBot="1" x14ac:dyDescent="0.35">
      <c r="B4" s="414"/>
      <c r="E4" s="78"/>
      <c r="F4" s="78"/>
      <c r="G4" s="78"/>
      <c r="H4" s="78"/>
      <c r="I4" s="78"/>
      <c r="J4" s="78"/>
      <c r="K4" s="78"/>
      <c r="L4" s="415"/>
      <c r="M4" s="416"/>
      <c r="N4" s="417"/>
      <c r="P4" s="225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67"/>
      <c r="AK4" s="67"/>
      <c r="AL4" s="67"/>
      <c r="AM4" s="67"/>
      <c r="AV4" s="48"/>
      <c r="AW4" s="48"/>
      <c r="AZ4" s="48"/>
      <c r="BA4" s="48"/>
      <c r="BD4" s="48"/>
      <c r="BE4" s="48"/>
      <c r="BI4" s="48"/>
      <c r="BJ4" s="48"/>
      <c r="BK4" s="49"/>
    </row>
    <row r="5" spans="1:87" s="2" customFormat="1" ht="19.5" collapsed="1" thickBot="1" x14ac:dyDescent="0.35">
      <c r="A5" s="262"/>
      <c r="B5" s="263" t="str">
        <f>"Stand: "&amp;TEXT(H2,"TT.MM.JJJJ")</f>
        <v>Stand: 18.05.2021</v>
      </c>
      <c r="C5" s="453" t="str">
        <f>TEXT(J2&amp;". Tag (noch "&amp;21-J2&amp;" Tage)",)&amp;"; Aktueller Stand: "&amp;TEXT(F1,"#.##0")&amp;" € / "&amp;TEXT(F2,"#.##0")&amp;" Unterstützer (Ø "&amp;TEXT(F3,"#.##0,00")&amp;" €)"</f>
        <v>20. Tag (noch 1 Tage); Aktueller Stand: 221.523 € / 1.550 Unterstützer (Ø 142,92 €)</v>
      </c>
      <c r="D5" s="453"/>
      <c r="E5" s="456" t="s">
        <v>179</v>
      </c>
      <c r="F5" s="457"/>
      <c r="G5" s="457"/>
      <c r="H5" s="457"/>
      <c r="I5" s="457"/>
      <c r="J5" s="457"/>
      <c r="K5" s="458"/>
      <c r="L5" s="455" t="s">
        <v>298</v>
      </c>
      <c r="M5" s="455"/>
      <c r="N5" s="455"/>
      <c r="O5" s="455"/>
      <c r="P5" s="219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8"/>
      <c r="AW5" s="48"/>
      <c r="AX5" s="47"/>
      <c r="AY5" s="47"/>
      <c r="AZ5" s="48"/>
      <c r="BA5" s="48"/>
      <c r="BB5" s="47"/>
      <c r="BC5" s="47"/>
      <c r="BD5" s="48"/>
      <c r="BE5" s="48"/>
      <c r="BF5" s="47"/>
      <c r="BG5" s="47"/>
      <c r="BH5" s="47"/>
      <c r="BI5" s="48"/>
      <c r="BJ5" s="48"/>
      <c r="BK5" s="49"/>
      <c r="BL5" s="47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</row>
    <row r="6" spans="1:87" s="2" customFormat="1" ht="18" x14ac:dyDescent="0.3">
      <c r="A6" s="262"/>
      <c r="B6" s="264" t="str">
        <f>H3&amp;" Uhr"</f>
        <v>19:04 Uhr</v>
      </c>
      <c r="C6" s="453" t="str">
        <f>"Erreichte Bonusziele: "&amp;H1&amp;" - bis "&amp;VLOOKUP(H1,$B$15:$C$74,2,FALSE)</f>
        <v>Erreichte Bonusziele: 50 - bis "Der Intrige letzter Teil"</v>
      </c>
      <c r="D6" s="453"/>
      <c r="E6" s="459" t="s">
        <v>248</v>
      </c>
      <c r="F6" s="459"/>
      <c r="G6" s="459"/>
      <c r="H6" s="459"/>
      <c r="I6" s="459"/>
      <c r="J6" s="459"/>
      <c r="K6" s="459"/>
      <c r="L6" s="452" t="s">
        <v>299</v>
      </c>
      <c r="M6" s="452"/>
      <c r="N6" s="452"/>
      <c r="O6" s="452"/>
      <c r="P6" s="220" t="s">
        <v>6</v>
      </c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8"/>
      <c r="AW6" s="48"/>
      <c r="AX6" s="47"/>
      <c r="AY6" s="47"/>
      <c r="AZ6" s="48"/>
      <c r="BA6" s="48"/>
      <c r="BB6" s="47"/>
      <c r="BC6" s="47"/>
      <c r="BD6" s="48"/>
      <c r="BE6" s="48"/>
      <c r="BF6" s="47"/>
      <c r="BG6" s="47"/>
      <c r="BH6" s="47"/>
      <c r="BI6" s="48"/>
      <c r="BJ6" s="48"/>
      <c r="BK6" s="49"/>
      <c r="BL6" s="47"/>
      <c r="BM6" s="262"/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2"/>
      <c r="BZ6" s="262"/>
      <c r="CA6" s="262"/>
      <c r="CB6" s="262"/>
      <c r="CC6" s="262"/>
      <c r="CD6" s="262"/>
      <c r="CE6" s="262"/>
      <c r="CF6" s="262"/>
      <c r="CG6" s="262"/>
      <c r="CH6" s="262"/>
      <c r="CI6" s="262"/>
    </row>
    <row r="7" spans="1:87" s="2" customFormat="1" thickBot="1" x14ac:dyDescent="0.35">
      <c r="A7" s="262"/>
      <c r="B7" s="265"/>
      <c r="C7" s="454" t="str">
        <f>"Noch "&amp;TEXT(J1-F1,"#.##0")&amp;" € bis zum "&amp;H1+1&amp;". Ziel "&amp;VLOOKUP(H1+1,$B$15:$C$74,2,FALSE)&amp;" bei "&amp;TEXT(J1,"#.##0 €")</f>
        <v>Noch 8.477 € bis zum 51. Ziel "Auf einsamen Pfaden" bei 230.000 €</v>
      </c>
      <c r="D7" s="454"/>
      <c r="E7" s="460" t="s">
        <v>172</v>
      </c>
      <c r="F7" s="460"/>
      <c r="G7" s="460"/>
      <c r="H7" s="460"/>
      <c r="I7" s="460"/>
      <c r="J7" s="460"/>
      <c r="K7" s="460"/>
      <c r="L7" s="285"/>
      <c r="M7" s="286"/>
      <c r="N7" s="287"/>
      <c r="O7" s="262"/>
      <c r="P7" s="220" t="s">
        <v>6</v>
      </c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8"/>
      <c r="AW7" s="48"/>
      <c r="AX7" s="47"/>
      <c r="AY7" s="47"/>
      <c r="AZ7" s="48"/>
      <c r="BA7" s="48"/>
      <c r="BB7" s="47"/>
      <c r="BC7" s="47"/>
      <c r="BD7" s="48"/>
      <c r="BE7" s="48"/>
      <c r="BF7" s="47"/>
      <c r="BG7" s="47"/>
      <c r="BH7" s="47"/>
      <c r="BI7" s="48"/>
      <c r="BJ7" s="48"/>
      <c r="BK7" s="49"/>
      <c r="BL7" s="47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62"/>
      <c r="BX7" s="262"/>
      <c r="BY7" s="262"/>
      <c r="BZ7" s="262"/>
      <c r="CA7" s="262"/>
      <c r="CB7" s="262"/>
      <c r="CC7" s="262"/>
      <c r="CD7" s="262"/>
      <c r="CE7" s="262"/>
      <c r="CF7" s="262"/>
      <c r="CG7" s="262"/>
      <c r="CH7" s="262"/>
      <c r="CI7" s="262"/>
    </row>
    <row r="8" spans="1:87" s="2" customFormat="1" ht="36.75" thickBot="1" x14ac:dyDescent="0.35">
      <c r="A8" s="262"/>
      <c r="B8" s="266" t="s">
        <v>35</v>
      </c>
      <c r="C8" s="262"/>
      <c r="D8" s="262"/>
      <c r="E8" s="446" t="s">
        <v>0</v>
      </c>
      <c r="F8" s="447"/>
      <c r="G8" s="447"/>
      <c r="H8" s="447"/>
      <c r="I8" s="447"/>
      <c r="J8" s="447"/>
      <c r="K8" s="448"/>
      <c r="L8" s="285"/>
      <c r="M8" s="286"/>
      <c r="N8" s="287"/>
      <c r="O8" s="262"/>
      <c r="P8" s="221" t="s">
        <v>15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8"/>
      <c r="AW8" s="48"/>
      <c r="AX8" s="47"/>
      <c r="AY8" s="47"/>
      <c r="AZ8" s="48"/>
      <c r="BA8" s="48"/>
      <c r="BB8" s="47"/>
      <c r="BC8" s="47"/>
      <c r="BD8" s="48"/>
      <c r="BE8" s="48"/>
      <c r="BF8" s="47"/>
      <c r="BG8" s="47"/>
      <c r="BH8" s="47"/>
      <c r="BI8" s="48"/>
      <c r="BJ8" s="48"/>
      <c r="BK8" s="49"/>
      <c r="BL8" s="47"/>
      <c r="BM8" s="262"/>
      <c r="BN8" s="262"/>
      <c r="BO8" s="262"/>
      <c r="BP8" s="262"/>
      <c r="BQ8" s="262"/>
      <c r="BR8" s="262"/>
      <c r="BS8" s="262"/>
      <c r="BT8" s="262"/>
      <c r="BU8" s="262"/>
      <c r="BV8" s="262"/>
      <c r="BW8" s="262"/>
      <c r="BX8" s="262"/>
      <c r="BY8" s="262"/>
      <c r="BZ8" s="262"/>
      <c r="CA8" s="262"/>
      <c r="CB8" s="262"/>
      <c r="CC8" s="262"/>
      <c r="CD8" s="262"/>
      <c r="CE8" s="262"/>
    </row>
    <row r="9" spans="1:87" s="2" customFormat="1" ht="36.75" thickBot="1" x14ac:dyDescent="0.35">
      <c r="A9" s="262"/>
      <c r="B9" s="267" t="s">
        <v>1</v>
      </c>
      <c r="C9" s="262"/>
      <c r="D9" s="262"/>
      <c r="E9" s="449" t="s">
        <v>17</v>
      </c>
      <c r="F9" s="450"/>
      <c r="G9" s="450"/>
      <c r="H9" s="450"/>
      <c r="I9" s="450"/>
      <c r="J9" s="450"/>
      <c r="K9" s="451"/>
      <c r="L9" s="285"/>
      <c r="M9" s="286"/>
      <c r="N9" s="287"/>
      <c r="O9" s="262"/>
      <c r="P9" s="221" t="s">
        <v>15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47"/>
      <c r="AJ9" s="47"/>
      <c r="AK9" s="47"/>
      <c r="AL9" s="47"/>
      <c r="AM9" s="47"/>
      <c r="AN9" s="81"/>
      <c r="AO9" s="47"/>
      <c r="AP9" s="47"/>
      <c r="AQ9" s="47"/>
      <c r="AR9" s="47"/>
      <c r="AS9" s="47"/>
      <c r="AT9" s="47"/>
      <c r="AU9" s="47"/>
      <c r="AV9" s="48"/>
      <c r="AW9" s="48"/>
      <c r="AX9" s="47"/>
      <c r="AY9" s="47"/>
      <c r="AZ9" s="48"/>
      <c r="BA9" s="48"/>
      <c r="BB9" s="47"/>
      <c r="BC9" s="47"/>
      <c r="BD9" s="48"/>
      <c r="BE9" s="48"/>
      <c r="BF9" s="47"/>
      <c r="BG9" s="47"/>
      <c r="BH9" s="47"/>
      <c r="BI9" s="48"/>
      <c r="BJ9" s="48"/>
      <c r="BK9" s="49"/>
      <c r="BL9" s="47"/>
      <c r="BM9" s="262"/>
      <c r="BN9" s="262"/>
      <c r="BO9" s="262"/>
      <c r="BP9" s="262"/>
      <c r="BQ9" s="262"/>
      <c r="BR9" s="262"/>
      <c r="BS9" s="262"/>
      <c r="BT9" s="262"/>
      <c r="BU9" s="262"/>
      <c r="BV9" s="262"/>
      <c r="BW9" s="262"/>
      <c r="BX9" s="262"/>
      <c r="BY9" s="262"/>
      <c r="BZ9" s="262"/>
      <c r="CA9" s="262"/>
      <c r="CB9" s="262"/>
      <c r="CC9" s="262"/>
      <c r="CD9" s="262"/>
      <c r="CE9" s="262"/>
    </row>
    <row r="10" spans="1:87" s="2" customFormat="1" ht="18" x14ac:dyDescent="0.3">
      <c r="A10" s="262"/>
      <c r="B10" s="268" t="s">
        <v>37</v>
      </c>
      <c r="C10" s="262"/>
      <c r="D10" s="262"/>
      <c r="E10" s="294"/>
      <c r="F10" s="295"/>
      <c r="G10" s="295"/>
      <c r="H10" s="295"/>
      <c r="I10" s="295"/>
      <c r="J10" s="295"/>
      <c r="K10" s="295"/>
      <c r="L10" s="285"/>
      <c r="M10" s="286"/>
      <c r="N10" s="287"/>
      <c r="O10" s="262"/>
      <c r="P10" s="220" t="s">
        <v>6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47"/>
      <c r="AJ10" s="47"/>
      <c r="AK10" s="47"/>
      <c r="AL10" s="47"/>
      <c r="AM10" s="47"/>
      <c r="AN10" s="81"/>
      <c r="AO10" s="47"/>
      <c r="AP10" s="47"/>
      <c r="AQ10" s="47"/>
      <c r="AR10" s="47"/>
      <c r="AS10" s="47"/>
      <c r="AT10" s="47"/>
      <c r="AU10" s="47"/>
      <c r="AV10" s="48"/>
      <c r="AW10" s="48"/>
      <c r="AX10" s="47"/>
      <c r="AY10" s="47"/>
      <c r="AZ10" s="48"/>
      <c r="BA10" s="48"/>
      <c r="BB10" s="47"/>
      <c r="BC10" s="47"/>
      <c r="BD10" s="48"/>
      <c r="BE10" s="48"/>
      <c r="BF10" s="47"/>
      <c r="BG10" s="47"/>
      <c r="BH10" s="47"/>
      <c r="BI10" s="48"/>
      <c r="BJ10" s="48"/>
      <c r="BK10" s="49"/>
      <c r="BL10" s="47"/>
      <c r="BM10" s="262"/>
      <c r="BN10" s="262"/>
      <c r="BO10" s="262"/>
      <c r="BP10" s="262"/>
      <c r="BQ10" s="262"/>
      <c r="BR10" s="262"/>
      <c r="BS10" s="262"/>
      <c r="BT10" s="262"/>
      <c r="BU10" s="262"/>
      <c r="BV10" s="262"/>
      <c r="BW10" s="262"/>
      <c r="BX10" s="262"/>
      <c r="BY10" s="262"/>
      <c r="BZ10" s="262"/>
      <c r="CA10" s="262"/>
      <c r="CB10" s="262"/>
      <c r="CC10" s="262"/>
      <c r="CD10" s="262"/>
      <c r="CE10" s="262"/>
    </row>
    <row r="11" spans="1:87" s="83" customFormat="1" ht="36" x14ac:dyDescent="0.25">
      <c r="A11" s="269"/>
      <c r="B11" s="268" t="s">
        <v>120</v>
      </c>
      <c r="C11" s="269"/>
      <c r="D11" s="270"/>
      <c r="E11" s="432" t="s">
        <v>249</v>
      </c>
      <c r="F11" s="332" t="s">
        <v>166</v>
      </c>
      <c r="G11" s="332" t="s">
        <v>167</v>
      </c>
      <c r="H11" s="333" t="s">
        <v>168</v>
      </c>
      <c r="I11" s="333" t="s">
        <v>169</v>
      </c>
      <c r="J11" s="333" t="s">
        <v>170</v>
      </c>
      <c r="K11" s="334" t="s">
        <v>171</v>
      </c>
      <c r="L11" s="290"/>
      <c r="M11" s="286"/>
      <c r="N11" s="287"/>
      <c r="O11" s="269"/>
      <c r="P11" s="221" t="s">
        <v>15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87"/>
      <c r="AJ11" s="87"/>
      <c r="AK11" s="79"/>
      <c r="AL11" s="79"/>
      <c r="AM11" s="79"/>
      <c r="AN11" s="88"/>
      <c r="AO11" s="88"/>
      <c r="AP11" s="88"/>
      <c r="AQ11" s="88"/>
      <c r="AR11" s="88"/>
      <c r="AS11" s="88"/>
      <c r="AT11" s="79"/>
      <c r="AU11" s="79"/>
      <c r="AV11" s="86"/>
      <c r="AW11" s="86"/>
      <c r="AX11" s="79"/>
      <c r="AY11" s="79"/>
      <c r="AZ11" s="86"/>
      <c r="BA11" s="86"/>
      <c r="BB11" s="79"/>
      <c r="BC11" s="79"/>
      <c r="BD11" s="86"/>
      <c r="BE11" s="86"/>
      <c r="BF11" s="79"/>
      <c r="BG11" s="79"/>
      <c r="BH11" s="79"/>
      <c r="BI11" s="86"/>
      <c r="BJ11" s="86"/>
      <c r="BK11" s="89"/>
      <c r="BL11" s="7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69"/>
    </row>
    <row r="12" spans="1:87" s="2" customFormat="1" ht="54.75" thickBot="1" x14ac:dyDescent="0.35">
      <c r="A12" s="262"/>
      <c r="B12" s="271" t="s">
        <v>2</v>
      </c>
      <c r="C12" s="262"/>
      <c r="D12" s="272"/>
      <c r="E12" s="433"/>
      <c r="F12" s="335"/>
      <c r="G12" s="335"/>
      <c r="H12" s="335"/>
      <c r="I12" s="335"/>
      <c r="J12" s="335"/>
      <c r="K12" s="336"/>
      <c r="L12" s="291"/>
      <c r="M12" s="286"/>
      <c r="N12" s="287"/>
      <c r="O12" s="262"/>
      <c r="P12" s="221" t="s">
        <v>260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47"/>
      <c r="AJ12" s="47"/>
      <c r="AK12" s="47"/>
      <c r="AL12" s="47"/>
      <c r="AM12" s="47"/>
      <c r="AN12" s="92"/>
      <c r="AO12" s="47"/>
      <c r="AP12" s="47"/>
      <c r="AQ12" s="47"/>
      <c r="AR12" s="47"/>
      <c r="AS12" s="47"/>
      <c r="AT12" s="47"/>
      <c r="AU12" s="47"/>
      <c r="AV12" s="48"/>
      <c r="AW12" s="48"/>
      <c r="AX12" s="47"/>
      <c r="AY12" s="47"/>
      <c r="AZ12" s="48"/>
      <c r="BA12" s="48"/>
      <c r="BB12" s="47"/>
      <c r="BC12" s="47"/>
      <c r="BD12" s="48"/>
      <c r="BE12" s="48"/>
      <c r="BF12" s="47"/>
      <c r="BG12" s="47"/>
      <c r="BH12" s="47"/>
      <c r="BI12" s="48"/>
      <c r="BJ12" s="48"/>
      <c r="BK12" s="49"/>
      <c r="BL12" s="47"/>
      <c r="BM12" s="262"/>
      <c r="BN12" s="262"/>
      <c r="BO12" s="262"/>
      <c r="BP12" s="262"/>
      <c r="BQ12" s="262"/>
      <c r="BR12" s="262"/>
      <c r="BS12" s="262"/>
      <c r="BT12" s="262"/>
      <c r="BU12" s="262"/>
      <c r="BV12" s="262"/>
      <c r="BW12" s="262"/>
      <c r="BX12" s="262"/>
      <c r="BY12" s="262"/>
      <c r="BZ12" s="262"/>
      <c r="CA12" s="262"/>
      <c r="CB12" s="262"/>
      <c r="CC12" s="262"/>
      <c r="CD12" s="262"/>
      <c r="CE12" s="262"/>
    </row>
    <row r="13" spans="1:87" s="93" customFormat="1" thickBot="1" x14ac:dyDescent="0.35">
      <c r="A13" s="273"/>
      <c r="B13" s="282"/>
      <c r="C13" s="283" t="s">
        <v>180</v>
      </c>
      <c r="D13" s="358"/>
      <c r="E13" s="337" t="s">
        <v>36</v>
      </c>
      <c r="F13" s="338">
        <v>336</v>
      </c>
      <c r="G13" s="338">
        <v>381</v>
      </c>
      <c r="H13" s="338">
        <v>57</v>
      </c>
      <c r="I13" s="338">
        <v>463</v>
      </c>
      <c r="J13" s="338">
        <v>126</v>
      </c>
      <c r="K13" s="339">
        <v>210</v>
      </c>
      <c r="L13" s="292"/>
      <c r="M13" s="292"/>
      <c r="N13" s="293"/>
      <c r="O13" s="273"/>
      <c r="P13" s="22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95"/>
      <c r="AW13" s="95"/>
      <c r="AX13" s="75"/>
      <c r="AY13" s="75"/>
      <c r="AZ13" s="95"/>
      <c r="BA13" s="95"/>
      <c r="BB13" s="75"/>
      <c r="BC13" s="75"/>
      <c r="BD13" s="95"/>
      <c r="BE13" s="95"/>
      <c r="BF13" s="75"/>
      <c r="BG13" s="75"/>
      <c r="BH13" s="75"/>
      <c r="BI13" s="95"/>
      <c r="BJ13" s="95"/>
      <c r="BK13" s="96"/>
      <c r="BL13" s="75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</row>
    <row r="14" spans="1:87" s="97" customFormat="1" ht="45" x14ac:dyDescent="0.25">
      <c r="A14" s="269"/>
      <c r="B14" s="343" t="s">
        <v>3</v>
      </c>
      <c r="C14" s="344" t="s">
        <v>250</v>
      </c>
      <c r="D14" s="345" t="s">
        <v>4</v>
      </c>
      <c r="E14" s="340"/>
      <c r="F14" s="340">
        <v>40</v>
      </c>
      <c r="G14" s="340">
        <v>40</v>
      </c>
      <c r="H14" s="340">
        <v>70</v>
      </c>
      <c r="I14" s="341">
        <v>135</v>
      </c>
      <c r="J14" s="342">
        <v>165</v>
      </c>
      <c r="K14" s="342">
        <v>300</v>
      </c>
      <c r="L14" s="346" t="s">
        <v>16</v>
      </c>
      <c r="M14" s="347" t="s">
        <v>33</v>
      </c>
      <c r="N14" s="348" t="s">
        <v>331</v>
      </c>
      <c r="O14" s="347" t="s">
        <v>107</v>
      </c>
      <c r="P14" s="221" t="s">
        <v>15</v>
      </c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75"/>
      <c r="AJ14" s="75"/>
      <c r="AK14" s="79"/>
      <c r="AL14" s="79"/>
      <c r="AM14" s="79"/>
      <c r="AN14" s="75"/>
      <c r="AO14" s="75"/>
      <c r="AP14" s="75"/>
      <c r="AQ14" s="75"/>
      <c r="AR14" s="75"/>
      <c r="AS14" s="75"/>
      <c r="AT14" s="75"/>
      <c r="AU14" s="79"/>
      <c r="AV14" s="86"/>
      <c r="AW14" s="86"/>
      <c r="AX14" s="79"/>
      <c r="AY14" s="79"/>
      <c r="AZ14" s="86"/>
      <c r="BA14" s="86"/>
      <c r="BB14" s="79"/>
      <c r="BC14" s="79"/>
      <c r="BD14" s="86"/>
      <c r="BE14" s="86"/>
      <c r="BF14" s="79"/>
      <c r="BG14" s="79"/>
      <c r="BH14" s="79"/>
      <c r="BI14" s="86"/>
      <c r="BJ14" s="86"/>
      <c r="BK14" s="89"/>
      <c r="BL14" s="7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69"/>
    </row>
    <row r="15" spans="1:87" s="97" customFormat="1" ht="18" hidden="1" outlineLevel="1" x14ac:dyDescent="0.25">
      <c r="A15" s="269"/>
      <c r="B15" s="98">
        <v>0</v>
      </c>
      <c r="C15" s="99" t="s">
        <v>184</v>
      </c>
      <c r="D15" s="412">
        <v>20000</v>
      </c>
      <c r="E15" s="47"/>
      <c r="F15" s="258" t="s">
        <v>40</v>
      </c>
      <c r="G15" s="259" t="s">
        <v>23</v>
      </c>
      <c r="H15" s="259" t="s">
        <v>22</v>
      </c>
      <c r="I15" s="259" t="s">
        <v>50</v>
      </c>
      <c r="J15" s="101"/>
      <c r="K15" s="101"/>
      <c r="L15" s="101"/>
      <c r="M15" s="101"/>
      <c r="N15" s="244"/>
      <c r="O15" s="101"/>
      <c r="P15" s="22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75"/>
      <c r="AJ15" s="79"/>
      <c r="AK15" s="79"/>
      <c r="AL15" s="79"/>
      <c r="AM15" s="79"/>
      <c r="AN15" s="75"/>
      <c r="AO15" s="75"/>
      <c r="AP15" s="75"/>
      <c r="AQ15" s="75"/>
      <c r="AR15" s="75"/>
      <c r="AS15" s="75"/>
      <c r="AT15" s="75"/>
      <c r="AU15" s="79"/>
      <c r="AV15" s="86"/>
      <c r="AW15" s="86"/>
      <c r="AX15" s="79"/>
      <c r="AY15" s="79"/>
      <c r="AZ15" s="86"/>
      <c r="BA15" s="86"/>
      <c r="BB15" s="79"/>
      <c r="BC15" s="79"/>
      <c r="BD15" s="86"/>
      <c r="BE15" s="86"/>
      <c r="BF15" s="79"/>
      <c r="BG15" s="79"/>
      <c r="BH15" s="79"/>
      <c r="BI15" s="86"/>
      <c r="BJ15" s="86"/>
      <c r="BK15" s="89"/>
      <c r="BL15" s="7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</row>
    <row r="16" spans="1:87" s="97" customFormat="1" ht="18" hidden="1" outlineLevel="1" x14ac:dyDescent="0.25">
      <c r="A16" s="269"/>
      <c r="B16" s="98">
        <v>1</v>
      </c>
      <c r="C16" s="99" t="s">
        <v>185</v>
      </c>
      <c r="D16" s="412">
        <f t="shared" ref="D16:D39" si="0">D15+2500</f>
        <v>22500</v>
      </c>
      <c r="E16" s="75" t="s">
        <v>26</v>
      </c>
      <c r="F16" s="254">
        <v>1</v>
      </c>
      <c r="G16" s="252">
        <f>VLOOKUP(F16,$R$169:$AB$190,11,FALSE)</f>
        <v>89735</v>
      </c>
      <c r="H16" s="252">
        <f>VLOOKUP(F16,$R$169:$AA$190,10,FALSE)</f>
        <v>625</v>
      </c>
      <c r="I16" s="256">
        <f>IFERROR(Sonnenküste!$G16/Sonnenküste!$H16,"")</f>
        <v>143.57599999999999</v>
      </c>
      <c r="J16" s="101"/>
      <c r="K16" s="101"/>
      <c r="L16" s="101"/>
      <c r="M16" s="101"/>
      <c r="N16" s="244"/>
      <c r="O16" s="101"/>
      <c r="P16" s="22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75"/>
      <c r="AJ16" s="79"/>
      <c r="AK16" s="79"/>
      <c r="AL16" s="79"/>
      <c r="AM16" s="79"/>
      <c r="AN16" s="75"/>
      <c r="AO16" s="75"/>
      <c r="AP16" s="75"/>
      <c r="AQ16" s="75"/>
      <c r="AR16" s="75"/>
      <c r="AS16" s="75"/>
      <c r="AT16" s="75"/>
      <c r="AU16" s="79"/>
      <c r="AV16" s="86"/>
      <c r="AW16" s="86"/>
      <c r="AX16" s="79"/>
      <c r="AY16" s="79"/>
      <c r="AZ16" s="86"/>
      <c r="BA16" s="86"/>
      <c r="BB16" s="79"/>
      <c r="BC16" s="79"/>
      <c r="BD16" s="86"/>
      <c r="BE16" s="86"/>
      <c r="BF16" s="79"/>
      <c r="BG16" s="79"/>
      <c r="BH16" s="79"/>
      <c r="BI16" s="86"/>
      <c r="BJ16" s="86"/>
      <c r="BK16" s="89"/>
      <c r="BL16" s="7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</row>
    <row r="17" spans="1:83" s="97" customFormat="1" ht="18" hidden="1" outlineLevel="1" x14ac:dyDescent="0.25">
      <c r="A17" s="269"/>
      <c r="B17" s="98">
        <v>2</v>
      </c>
      <c r="C17" s="99" t="s">
        <v>186</v>
      </c>
      <c r="D17" s="412">
        <f t="shared" si="0"/>
        <v>25000</v>
      </c>
      <c r="E17" s="78" t="s">
        <v>27</v>
      </c>
      <c r="F17" s="255">
        <v>21</v>
      </c>
      <c r="G17" s="253">
        <f>VLOOKUP(F17,$R$169:$AB$190,11,FALSE)</f>
        <v>53154.620689655188</v>
      </c>
      <c r="H17" s="253">
        <f>VLOOKUP(F17,$R$169:$AA$190,10,FALSE)</f>
        <v>378</v>
      </c>
      <c r="I17" s="257">
        <f>IFERROR(Sonnenküste!$G36/Sonnenküste!$H36,"")</f>
        <v>166</v>
      </c>
      <c r="J17" s="101"/>
      <c r="K17" s="101"/>
      <c r="L17" s="101"/>
      <c r="M17" s="101"/>
      <c r="N17" s="244"/>
      <c r="O17" s="101"/>
      <c r="P17" s="22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75"/>
      <c r="AJ17" s="79"/>
      <c r="AK17" s="79"/>
      <c r="AL17" s="79"/>
      <c r="AM17" s="79"/>
      <c r="AN17" s="75"/>
      <c r="AO17" s="75"/>
      <c r="AP17" s="75"/>
      <c r="AQ17" s="75"/>
      <c r="AR17" s="75"/>
      <c r="AS17" s="75"/>
      <c r="AT17" s="75"/>
      <c r="AU17" s="79"/>
      <c r="AV17" s="86"/>
      <c r="AW17" s="86"/>
      <c r="AX17" s="79"/>
      <c r="AY17" s="79"/>
      <c r="AZ17" s="86"/>
      <c r="BA17" s="86"/>
      <c r="BB17" s="79"/>
      <c r="BC17" s="79"/>
      <c r="BD17" s="86"/>
      <c r="BE17" s="86"/>
      <c r="BF17" s="79"/>
      <c r="BG17" s="79"/>
      <c r="BH17" s="79"/>
      <c r="BI17" s="86"/>
      <c r="BJ17" s="86"/>
      <c r="BK17" s="89"/>
      <c r="BL17" s="7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69"/>
    </row>
    <row r="18" spans="1:83" s="97" customFormat="1" ht="18" hidden="1" outlineLevel="1" x14ac:dyDescent="0.25">
      <c r="A18" s="269"/>
      <c r="B18" s="98">
        <v>3</v>
      </c>
      <c r="C18" s="99" t="s">
        <v>187</v>
      </c>
      <c r="D18" s="412">
        <f t="shared" si="0"/>
        <v>27500</v>
      </c>
      <c r="E18" s="75" t="s">
        <v>29</v>
      </c>
      <c r="F18" s="254">
        <v>2</v>
      </c>
      <c r="G18" s="252">
        <f>VLOOKUP(F18,$R$169:$AB$190,11,FALSE)</f>
        <v>24268</v>
      </c>
      <c r="H18" s="252">
        <f>VLOOKUP(F18,$R$169:$AA$190,10,FALSE)</f>
        <v>164</v>
      </c>
      <c r="I18" s="256">
        <f>IFERROR(Sonnenküste!$G17/Sonnenküste!$H17,"")</f>
        <v>140.62068965517247</v>
      </c>
      <c r="J18" s="101"/>
      <c r="K18" s="101"/>
      <c r="L18" s="101"/>
      <c r="M18" s="101"/>
      <c r="N18" s="244"/>
      <c r="O18" s="101"/>
      <c r="P18" s="22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75"/>
      <c r="AJ18" s="79"/>
      <c r="AK18" s="79"/>
      <c r="AL18" s="79"/>
      <c r="AM18" s="79"/>
      <c r="AN18" s="75"/>
      <c r="AO18" s="75"/>
      <c r="AP18" s="75"/>
      <c r="AQ18" s="75"/>
      <c r="AR18" s="75"/>
      <c r="AS18" s="75"/>
      <c r="AT18" s="75"/>
      <c r="AU18" s="79"/>
      <c r="AV18" s="86"/>
      <c r="AW18" s="86"/>
      <c r="AX18" s="79"/>
      <c r="AY18" s="79"/>
      <c r="AZ18" s="86"/>
      <c r="BA18" s="86"/>
      <c r="BB18" s="79"/>
      <c r="BC18" s="79"/>
      <c r="BD18" s="86"/>
      <c r="BE18" s="86"/>
      <c r="BF18" s="79"/>
      <c r="BG18" s="79"/>
      <c r="BH18" s="79"/>
      <c r="BI18" s="86"/>
      <c r="BJ18" s="86"/>
      <c r="BK18" s="89"/>
      <c r="BL18" s="7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/>
      <c r="CE18" s="269"/>
    </row>
    <row r="19" spans="1:83" s="97" customFormat="1" ht="18" hidden="1" outlineLevel="1" x14ac:dyDescent="0.25">
      <c r="A19" s="269"/>
      <c r="B19" s="98">
        <v>4</v>
      </c>
      <c r="C19" s="99" t="s">
        <v>188</v>
      </c>
      <c r="D19" s="412">
        <f t="shared" si="0"/>
        <v>30000</v>
      </c>
      <c r="E19" s="78" t="s">
        <v>109</v>
      </c>
      <c r="F19" s="254">
        <v>7</v>
      </c>
      <c r="G19" s="252">
        <f>VLOOKUP(F19,$R$169:$AB$190,11,FALSE)</f>
        <v>11704</v>
      </c>
      <c r="H19" s="252">
        <f>VLOOKUP(F19,$R$169:$AA$190,10,FALSE)</f>
        <v>91</v>
      </c>
      <c r="I19" s="256">
        <f>IFERROR(Sonnenküste!$G22/Sonnenküste!$H22,"")</f>
        <v>140.5</v>
      </c>
      <c r="J19" s="101"/>
      <c r="K19" s="101"/>
      <c r="L19" s="101"/>
      <c r="M19" s="101"/>
      <c r="N19" s="244"/>
      <c r="O19" s="101"/>
      <c r="P19" s="221"/>
      <c r="Q19" s="101"/>
      <c r="R19" s="79"/>
      <c r="S19" s="79"/>
      <c r="T19" s="79"/>
      <c r="U19" s="79"/>
      <c r="V19" s="79"/>
      <c r="W19" s="79"/>
      <c r="X19" s="79"/>
      <c r="Y19" s="79"/>
      <c r="Z19" s="75"/>
      <c r="AA19" s="75"/>
      <c r="AB19" s="75"/>
      <c r="AC19" s="95"/>
      <c r="AD19" s="75"/>
      <c r="AE19" s="75"/>
      <c r="AF19" s="75"/>
      <c r="AG19" s="75"/>
      <c r="AH19" s="75"/>
      <c r="AI19" s="75"/>
      <c r="AJ19" s="79"/>
      <c r="AK19" s="79"/>
      <c r="AL19" s="79"/>
      <c r="AM19" s="79"/>
      <c r="AN19" s="75"/>
      <c r="AO19" s="75"/>
      <c r="AP19" s="75"/>
      <c r="AQ19" s="75"/>
      <c r="AR19" s="75"/>
      <c r="AS19" s="75"/>
      <c r="AT19" s="75"/>
      <c r="AU19" s="79"/>
      <c r="AV19" s="86"/>
      <c r="AW19" s="86"/>
      <c r="AX19" s="79"/>
      <c r="AY19" s="79"/>
      <c r="AZ19" s="86"/>
      <c r="BA19" s="86"/>
      <c r="BB19" s="79"/>
      <c r="BC19" s="79"/>
      <c r="BD19" s="86"/>
      <c r="BE19" s="86"/>
      <c r="BF19" s="79"/>
      <c r="BG19" s="79"/>
      <c r="BH19" s="79"/>
      <c r="BI19" s="86"/>
      <c r="BJ19" s="86"/>
      <c r="BK19" s="89"/>
      <c r="BL19" s="7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69"/>
      <c r="BZ19" s="269"/>
      <c r="CA19" s="269"/>
      <c r="CB19" s="269"/>
      <c r="CC19" s="269"/>
      <c r="CD19" s="269"/>
      <c r="CE19" s="269"/>
    </row>
    <row r="20" spans="1:83" s="97" customFormat="1" ht="18" hidden="1" outlineLevel="1" x14ac:dyDescent="0.25">
      <c r="A20" s="269"/>
      <c r="B20" s="98">
        <v>5</v>
      </c>
      <c r="C20" s="99" t="s">
        <v>122</v>
      </c>
      <c r="D20" s="412">
        <f t="shared" si="0"/>
        <v>32500</v>
      </c>
      <c r="E20" s="75" t="s">
        <v>28</v>
      </c>
      <c r="F20" s="254">
        <v>15</v>
      </c>
      <c r="G20" s="252">
        <f>VLOOKUP(F20,$R$169:$AB$190,11,FALSE)</f>
        <v>11644</v>
      </c>
      <c r="H20" s="252">
        <f>VLOOKUP(F20,$R$169:$AA$190,10,FALSE)</f>
        <v>81</v>
      </c>
      <c r="I20" s="256">
        <f>IFERROR(Sonnenküste!$G30/Sonnenküste!$H30,"")</f>
        <v>160.28571428571428</v>
      </c>
      <c r="J20" s="101"/>
      <c r="K20" s="101"/>
      <c r="L20" s="101"/>
      <c r="M20" s="101"/>
      <c r="N20" s="244"/>
      <c r="O20" s="101"/>
      <c r="P20" s="221"/>
      <c r="Q20" s="101"/>
      <c r="R20" s="79"/>
      <c r="S20" s="79"/>
      <c r="T20" s="79"/>
      <c r="U20" s="79"/>
      <c r="V20" s="79"/>
      <c r="W20" s="79"/>
      <c r="X20" s="79"/>
      <c r="Y20" s="79"/>
      <c r="Z20" s="75"/>
      <c r="AA20" s="75"/>
      <c r="AB20" s="75"/>
      <c r="AC20" s="95"/>
      <c r="AD20" s="75"/>
      <c r="AE20" s="75"/>
      <c r="AF20" s="75"/>
      <c r="AG20" s="75"/>
      <c r="AH20" s="75"/>
      <c r="AI20" s="75"/>
      <c r="AJ20" s="79"/>
      <c r="AK20" s="79"/>
      <c r="AL20" s="79"/>
      <c r="AM20" s="79"/>
      <c r="AN20" s="75"/>
      <c r="AO20" s="75"/>
      <c r="AP20" s="75"/>
      <c r="AQ20" s="75"/>
      <c r="AR20" s="75"/>
      <c r="AS20" s="75"/>
      <c r="AT20" s="75"/>
      <c r="AU20" s="79"/>
      <c r="AV20" s="86"/>
      <c r="AW20" s="86"/>
      <c r="AX20" s="79"/>
      <c r="AY20" s="79"/>
      <c r="AZ20" s="86"/>
      <c r="BA20" s="86"/>
      <c r="BB20" s="79"/>
      <c r="BC20" s="79"/>
      <c r="BD20" s="86"/>
      <c r="BE20" s="86"/>
      <c r="BF20" s="79"/>
      <c r="BG20" s="79"/>
      <c r="BH20" s="79"/>
      <c r="BI20" s="86"/>
      <c r="BJ20" s="86"/>
      <c r="BK20" s="89"/>
      <c r="BL20" s="7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/>
      <c r="CD20" s="269"/>
      <c r="CE20" s="269"/>
    </row>
    <row r="21" spans="1:83" s="97" customFormat="1" ht="18" hidden="1" outlineLevel="1" x14ac:dyDescent="0.25">
      <c r="A21" s="269"/>
      <c r="B21" s="98">
        <v>6</v>
      </c>
      <c r="C21" s="99" t="s">
        <v>189</v>
      </c>
      <c r="D21" s="412">
        <f t="shared" si="0"/>
        <v>35000</v>
      </c>
      <c r="E21" s="78" t="s">
        <v>110</v>
      </c>
      <c r="F21" s="254">
        <v>19</v>
      </c>
      <c r="G21" s="252">
        <f>VLOOKUP(F21,$R$169:$AB$190,11,FALSE)</f>
        <v>9067</v>
      </c>
      <c r="H21" s="252">
        <f>VLOOKUP(F21,$R$169:$AA$190,10,FALSE)</f>
        <v>64</v>
      </c>
      <c r="I21" s="256">
        <f>IFERROR(Sonnenküste!$G34/Sonnenküste!$H34,"")</f>
        <v>129.80769230769232</v>
      </c>
      <c r="J21" s="101"/>
      <c r="K21" s="101"/>
      <c r="L21" s="101"/>
      <c r="M21" s="101"/>
      <c r="N21" s="244"/>
      <c r="O21" s="101"/>
      <c r="P21" s="221"/>
      <c r="Q21" s="101"/>
      <c r="R21" s="79"/>
      <c r="S21" s="79"/>
      <c r="T21" s="79"/>
      <c r="U21" s="79"/>
      <c r="V21" s="79"/>
      <c r="W21" s="79"/>
      <c r="X21" s="79"/>
      <c r="Y21" s="79"/>
      <c r="Z21" s="75"/>
      <c r="AA21" s="75"/>
      <c r="AB21" s="75"/>
      <c r="AC21" s="95"/>
      <c r="AD21" s="75"/>
      <c r="AE21" s="75"/>
      <c r="AF21" s="75"/>
      <c r="AG21" s="75"/>
      <c r="AH21" s="75"/>
      <c r="AI21" s="75"/>
      <c r="AJ21" s="79"/>
      <c r="AK21" s="79"/>
      <c r="AL21" s="79"/>
      <c r="AM21" s="79"/>
      <c r="AN21" s="75"/>
      <c r="AO21" s="75"/>
      <c r="AP21" s="75"/>
      <c r="AQ21" s="75"/>
      <c r="AR21" s="75"/>
      <c r="AS21" s="75"/>
      <c r="AT21" s="75"/>
      <c r="AU21" s="79"/>
      <c r="AV21" s="86"/>
      <c r="AW21" s="86"/>
      <c r="AX21" s="79"/>
      <c r="AY21" s="79"/>
      <c r="AZ21" s="86"/>
      <c r="BA21" s="86"/>
      <c r="BB21" s="79"/>
      <c r="BC21" s="79"/>
      <c r="BD21" s="86"/>
      <c r="BE21" s="86"/>
      <c r="BF21" s="79"/>
      <c r="BG21" s="79"/>
      <c r="BH21" s="79"/>
      <c r="BI21" s="86"/>
      <c r="BJ21" s="86"/>
      <c r="BK21" s="89"/>
      <c r="BL21" s="7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</row>
    <row r="22" spans="1:83" s="97" customFormat="1" ht="18" hidden="1" outlineLevel="1" x14ac:dyDescent="0.25">
      <c r="A22" s="269"/>
      <c r="B22" s="98">
        <v>7</v>
      </c>
      <c r="C22" s="99" t="s">
        <v>190</v>
      </c>
      <c r="D22" s="412">
        <f t="shared" si="0"/>
        <v>37500</v>
      </c>
      <c r="E22" s="75" t="s">
        <v>30</v>
      </c>
      <c r="F22" s="254">
        <v>20</v>
      </c>
      <c r="G22" s="252">
        <f>VLOOKUP(F22,$R$169:$AB$190,11,FALSE)</f>
        <v>8711</v>
      </c>
      <c r="H22" s="252">
        <f>VLOOKUP(F22,$R$169:$AA$190,10,FALSE)</f>
        <v>62</v>
      </c>
      <c r="I22" s="256">
        <f>IFERROR(Sonnenküste!$G35/Sonnenküste!$H35,"")</f>
        <v>139.60869565217391</v>
      </c>
      <c r="J22" s="101"/>
      <c r="K22" s="101"/>
      <c r="L22" s="101"/>
      <c r="M22" s="101"/>
      <c r="N22" s="244"/>
      <c r="O22" s="101"/>
      <c r="P22" s="221"/>
      <c r="Q22" s="101"/>
      <c r="R22" s="79"/>
      <c r="S22" s="79"/>
      <c r="T22" s="79"/>
      <c r="U22" s="79"/>
      <c r="V22" s="79"/>
      <c r="W22" s="79"/>
      <c r="X22" s="79"/>
      <c r="Y22" s="79"/>
      <c r="Z22" s="75"/>
      <c r="AA22" s="75"/>
      <c r="AB22" s="75"/>
      <c r="AC22" s="95"/>
      <c r="AD22" s="75"/>
      <c r="AE22" s="75"/>
      <c r="AF22" s="75"/>
      <c r="AG22" s="75"/>
      <c r="AH22" s="75"/>
      <c r="AI22" s="75"/>
      <c r="AJ22" s="79"/>
      <c r="AK22" s="79"/>
      <c r="AL22" s="79"/>
      <c r="AM22" s="79"/>
      <c r="AN22" s="75"/>
      <c r="AO22" s="75"/>
      <c r="AP22" s="75"/>
      <c r="AQ22" s="75"/>
      <c r="AR22" s="75"/>
      <c r="AS22" s="75"/>
      <c r="AT22" s="75"/>
      <c r="AU22" s="79"/>
      <c r="AV22" s="86"/>
      <c r="AW22" s="86"/>
      <c r="AX22" s="79"/>
      <c r="AY22" s="79"/>
      <c r="AZ22" s="86"/>
      <c r="BA22" s="86"/>
      <c r="BB22" s="79"/>
      <c r="BC22" s="79"/>
      <c r="BD22" s="86"/>
      <c r="BE22" s="86"/>
      <c r="BF22" s="79"/>
      <c r="BG22" s="79"/>
      <c r="BH22" s="79"/>
      <c r="BI22" s="86"/>
      <c r="BJ22" s="86"/>
      <c r="BK22" s="89"/>
      <c r="BL22" s="7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</row>
    <row r="23" spans="1:83" s="97" customFormat="1" ht="18" hidden="1" outlineLevel="1" x14ac:dyDescent="0.25">
      <c r="A23" s="269"/>
      <c r="B23" s="98">
        <v>8</v>
      </c>
      <c r="C23" s="99" t="s">
        <v>191</v>
      </c>
      <c r="D23" s="412">
        <f t="shared" si="0"/>
        <v>40000</v>
      </c>
      <c r="E23" s="78" t="s">
        <v>111</v>
      </c>
      <c r="F23" s="254">
        <v>3</v>
      </c>
      <c r="G23" s="252">
        <f>VLOOKUP(F23,$R$169:$AB$190,11,FALSE)</f>
        <v>8516</v>
      </c>
      <c r="H23" s="252">
        <f>VLOOKUP(F23,$R$169:$AA$190,10,FALSE)</f>
        <v>63</v>
      </c>
      <c r="I23" s="256">
        <f>IFERROR(Sonnenküste!$G18/Sonnenküste!$H18,"")</f>
        <v>147.97560975609755</v>
      </c>
      <c r="J23" s="101"/>
      <c r="K23" s="101"/>
      <c r="L23" s="101"/>
      <c r="M23" s="101"/>
      <c r="N23" s="244"/>
      <c r="O23" s="101"/>
      <c r="P23" s="221"/>
      <c r="Q23" s="101"/>
      <c r="R23" s="79"/>
      <c r="S23" s="79"/>
      <c r="T23" s="79"/>
      <c r="U23" s="79"/>
      <c r="V23" s="79"/>
      <c r="W23" s="79"/>
      <c r="X23" s="79"/>
      <c r="Y23" s="79"/>
      <c r="Z23" s="75"/>
      <c r="AA23" s="75"/>
      <c r="AB23" s="75"/>
      <c r="AC23" s="95"/>
      <c r="AD23" s="75"/>
      <c r="AE23" s="75"/>
      <c r="AF23" s="75"/>
      <c r="AG23" s="75"/>
      <c r="AH23" s="75"/>
      <c r="AI23" s="75"/>
      <c r="AJ23" s="79"/>
      <c r="AK23" s="79"/>
      <c r="AL23" s="79"/>
      <c r="AM23" s="79"/>
      <c r="AN23" s="75"/>
      <c r="AO23" s="75"/>
      <c r="AP23" s="75"/>
      <c r="AQ23" s="75"/>
      <c r="AR23" s="75"/>
      <c r="AS23" s="75"/>
      <c r="AT23" s="75"/>
      <c r="AU23" s="79"/>
      <c r="AV23" s="86"/>
      <c r="AW23" s="86"/>
      <c r="AX23" s="79"/>
      <c r="AY23" s="79"/>
      <c r="AZ23" s="86"/>
      <c r="BA23" s="86"/>
      <c r="BB23" s="79"/>
      <c r="BC23" s="79"/>
      <c r="BD23" s="86"/>
      <c r="BE23" s="86"/>
      <c r="BF23" s="79"/>
      <c r="BG23" s="79"/>
      <c r="BH23" s="79"/>
      <c r="BI23" s="86"/>
      <c r="BJ23" s="86"/>
      <c r="BK23" s="89"/>
      <c r="BL23" s="7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</row>
    <row r="24" spans="1:83" s="97" customFormat="1" ht="18" hidden="1" outlineLevel="1" x14ac:dyDescent="0.25">
      <c r="A24" s="269"/>
      <c r="B24" s="98">
        <v>9</v>
      </c>
      <c r="C24" s="99" t="s">
        <v>192</v>
      </c>
      <c r="D24" s="412">
        <f t="shared" si="0"/>
        <v>42500</v>
      </c>
      <c r="E24" s="75" t="s">
        <v>32</v>
      </c>
      <c r="F24" s="254">
        <v>8</v>
      </c>
      <c r="G24" s="252">
        <f>VLOOKUP(F24,$R$169:$AB$190,11,FALSE)</f>
        <v>6857</v>
      </c>
      <c r="H24" s="252">
        <f>VLOOKUP(F24,$R$169:$AA$190,10,FALSE)</f>
        <v>40</v>
      </c>
      <c r="I24" s="256">
        <f>IFERROR(Sonnenküste!$G23/Sonnenküste!$H23,"")</f>
        <v>135.17460317460316</v>
      </c>
      <c r="J24" s="101"/>
      <c r="K24" s="101"/>
      <c r="L24" s="101"/>
      <c r="M24" s="101"/>
      <c r="N24" s="244"/>
      <c r="O24" s="101"/>
      <c r="P24" s="221"/>
      <c r="Q24" s="101"/>
      <c r="R24" s="79"/>
      <c r="S24" s="79"/>
      <c r="T24" s="79"/>
      <c r="U24" s="79"/>
      <c r="V24" s="79"/>
      <c r="W24" s="79"/>
      <c r="X24" s="79"/>
      <c r="Y24" s="79"/>
      <c r="Z24" s="75"/>
      <c r="AA24" s="75"/>
      <c r="AB24" s="75"/>
      <c r="AC24" s="95"/>
      <c r="AD24" s="75"/>
      <c r="AE24" s="75"/>
      <c r="AF24" s="75"/>
      <c r="AG24" s="75"/>
      <c r="AH24" s="75"/>
      <c r="AI24" s="75"/>
      <c r="AJ24" s="79"/>
      <c r="AK24" s="79"/>
      <c r="AL24" s="79"/>
      <c r="AM24" s="79"/>
      <c r="AN24" s="75"/>
      <c r="AO24" s="75"/>
      <c r="AP24" s="75"/>
      <c r="AQ24" s="75"/>
      <c r="AR24" s="75"/>
      <c r="AS24" s="75"/>
      <c r="AT24" s="75"/>
      <c r="AU24" s="79"/>
      <c r="AV24" s="86"/>
      <c r="AW24" s="86"/>
      <c r="AX24" s="79"/>
      <c r="AY24" s="79"/>
      <c r="AZ24" s="86"/>
      <c r="BA24" s="86"/>
      <c r="BB24" s="79"/>
      <c r="BC24" s="79"/>
      <c r="BD24" s="86"/>
      <c r="BE24" s="86"/>
      <c r="BF24" s="79"/>
      <c r="BG24" s="79"/>
      <c r="BH24" s="79"/>
      <c r="BI24" s="86"/>
      <c r="BJ24" s="86"/>
      <c r="BK24" s="89"/>
      <c r="BL24" s="7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269"/>
      <c r="CE24" s="269"/>
    </row>
    <row r="25" spans="1:83" s="97" customFormat="1" ht="18" hidden="1" outlineLevel="1" x14ac:dyDescent="0.25">
      <c r="A25" s="269"/>
      <c r="B25" s="98">
        <v>10</v>
      </c>
      <c r="C25" s="99" t="s">
        <v>193</v>
      </c>
      <c r="D25" s="412">
        <f t="shared" si="0"/>
        <v>45000</v>
      </c>
      <c r="E25" s="75" t="s">
        <v>31</v>
      </c>
      <c r="F25" s="254">
        <v>4</v>
      </c>
      <c r="G25" s="252">
        <f>VLOOKUP(F25,$R$169:$AB$190,11,FALSE)</f>
        <v>5085</v>
      </c>
      <c r="H25" s="252">
        <f>VLOOKUP(F25,$R$169:$AA$190,10,FALSE)</f>
        <v>39</v>
      </c>
      <c r="I25" s="256">
        <f>IFERROR(Sonnenküste!$G19/Sonnenküste!$H19,"")</f>
        <v>128.61538461538461</v>
      </c>
      <c r="J25" s="101"/>
      <c r="K25" s="101"/>
      <c r="L25" s="101"/>
      <c r="M25" s="101"/>
      <c r="N25" s="244"/>
      <c r="O25" s="101"/>
      <c r="P25" s="221"/>
      <c r="Q25" s="101"/>
      <c r="R25" s="79"/>
      <c r="S25" s="79"/>
      <c r="T25" s="79"/>
      <c r="U25" s="79"/>
      <c r="V25" s="79"/>
      <c r="W25" s="79"/>
      <c r="X25" s="79"/>
      <c r="Y25" s="79"/>
      <c r="Z25" s="75"/>
      <c r="AA25" s="75"/>
      <c r="AB25" s="75"/>
      <c r="AC25" s="95"/>
      <c r="AD25" s="75"/>
      <c r="AE25" s="75"/>
      <c r="AF25" s="75"/>
      <c r="AG25" s="75"/>
      <c r="AH25" s="75"/>
      <c r="AI25" s="75"/>
      <c r="AJ25" s="79"/>
      <c r="AK25" s="79"/>
      <c r="AL25" s="79"/>
      <c r="AM25" s="79"/>
      <c r="AN25" s="75"/>
      <c r="AO25" s="75"/>
      <c r="AP25" s="75"/>
      <c r="AQ25" s="75"/>
      <c r="AR25" s="75"/>
      <c r="AS25" s="75"/>
      <c r="AT25" s="75"/>
      <c r="AU25" s="79"/>
      <c r="AV25" s="86"/>
      <c r="AW25" s="86"/>
      <c r="AX25" s="79"/>
      <c r="AY25" s="79"/>
      <c r="AZ25" s="86"/>
      <c r="BA25" s="86"/>
      <c r="BB25" s="79"/>
      <c r="BC25" s="79"/>
      <c r="BD25" s="86"/>
      <c r="BE25" s="86"/>
      <c r="BF25" s="79"/>
      <c r="BG25" s="79"/>
      <c r="BH25" s="79"/>
      <c r="BI25" s="86"/>
      <c r="BJ25" s="86"/>
      <c r="BK25" s="89"/>
      <c r="BL25" s="7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269"/>
      <c r="CE25" s="269"/>
    </row>
    <row r="26" spans="1:83" s="97" customFormat="1" ht="18" hidden="1" outlineLevel="1" x14ac:dyDescent="0.25">
      <c r="A26" s="269"/>
      <c r="B26" s="98">
        <v>11</v>
      </c>
      <c r="C26" s="99" t="s">
        <v>194</v>
      </c>
      <c r="D26" s="412">
        <f t="shared" si="0"/>
        <v>47500</v>
      </c>
      <c r="E26" s="75" t="s">
        <v>34</v>
      </c>
      <c r="F26" s="254">
        <v>17</v>
      </c>
      <c r="G26" s="252">
        <f>VLOOKUP(F26,$R$169:$AB$190,11,FALSE)</f>
        <v>4997</v>
      </c>
      <c r="H26" s="252">
        <f>VLOOKUP(F26,$R$169:$AA$190,10,FALSE)</f>
        <v>34</v>
      </c>
      <c r="I26" s="256">
        <f>IFERROR(Sonnenküste!$G32/Sonnenküste!$H32,"")</f>
        <v>155.2962962962963</v>
      </c>
      <c r="J26" s="101"/>
      <c r="K26" s="101"/>
      <c r="L26" s="101"/>
      <c r="M26" s="101"/>
      <c r="N26" s="244"/>
      <c r="O26" s="101"/>
      <c r="P26" s="221"/>
      <c r="Q26" s="101"/>
      <c r="R26" s="79"/>
      <c r="S26" s="79"/>
      <c r="T26" s="79"/>
      <c r="U26" s="79"/>
      <c r="V26" s="79"/>
      <c r="W26" s="79"/>
      <c r="X26" s="79"/>
      <c r="Y26" s="79"/>
      <c r="Z26" s="75"/>
      <c r="AA26" s="75"/>
      <c r="AB26" s="75"/>
      <c r="AC26" s="95"/>
      <c r="AD26" s="75"/>
      <c r="AE26" s="75"/>
      <c r="AF26" s="75"/>
      <c r="AG26" s="75"/>
      <c r="AH26" s="75"/>
      <c r="AI26" s="75"/>
      <c r="AJ26" s="79"/>
      <c r="AK26" s="79"/>
      <c r="AL26" s="79"/>
      <c r="AM26" s="79"/>
      <c r="AN26" s="75"/>
      <c r="AO26" s="75"/>
      <c r="AP26" s="75"/>
      <c r="AQ26" s="75"/>
      <c r="AR26" s="75"/>
      <c r="AS26" s="75"/>
      <c r="AT26" s="75"/>
      <c r="AU26" s="79"/>
      <c r="AV26" s="86"/>
      <c r="AW26" s="86"/>
      <c r="AX26" s="79"/>
      <c r="AY26" s="79"/>
      <c r="AZ26" s="86"/>
      <c r="BA26" s="86"/>
      <c r="BB26" s="79"/>
      <c r="BC26" s="79"/>
      <c r="BD26" s="86"/>
      <c r="BE26" s="86"/>
      <c r="BF26" s="79"/>
      <c r="BG26" s="79"/>
      <c r="BH26" s="79"/>
      <c r="BI26" s="86"/>
      <c r="BJ26" s="86"/>
      <c r="BK26" s="89"/>
      <c r="BL26" s="7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  <c r="BY26" s="269"/>
      <c r="BZ26" s="269"/>
      <c r="CA26" s="269"/>
      <c r="CB26" s="269"/>
      <c r="CC26" s="269"/>
      <c r="CD26" s="269"/>
      <c r="CE26" s="269"/>
    </row>
    <row r="27" spans="1:83" s="97" customFormat="1" ht="18" hidden="1" outlineLevel="1" x14ac:dyDescent="0.25">
      <c r="A27" s="269"/>
      <c r="B27" s="98">
        <v>12</v>
      </c>
      <c r="C27" s="99" t="s">
        <v>195</v>
      </c>
      <c r="D27" s="412">
        <f t="shared" si="0"/>
        <v>50000</v>
      </c>
      <c r="E27" s="75" t="s">
        <v>112</v>
      </c>
      <c r="F27" s="254">
        <v>16</v>
      </c>
      <c r="G27" s="252">
        <f>VLOOKUP(F27,$R$169:$AB$190,11,FALSE)</f>
        <v>4991</v>
      </c>
      <c r="H27" s="252">
        <f>VLOOKUP(F27,$R$169:$AA$190,10,FALSE)</f>
        <v>37</v>
      </c>
      <c r="I27" s="256">
        <f>IFERROR(Sonnenküste!$G31/Sonnenküste!$H31,"")</f>
        <v>123.4</v>
      </c>
      <c r="J27" s="101"/>
      <c r="K27" s="101"/>
      <c r="L27" s="101"/>
      <c r="M27" s="101"/>
      <c r="N27" s="244"/>
      <c r="O27" s="101"/>
      <c r="P27" s="221"/>
      <c r="Q27" s="101"/>
      <c r="R27" s="79"/>
      <c r="S27" s="79"/>
      <c r="T27" s="79"/>
      <c r="U27" s="79"/>
      <c r="V27" s="79"/>
      <c r="W27" s="79"/>
      <c r="X27" s="79"/>
      <c r="Y27" s="79"/>
      <c r="Z27" s="75"/>
      <c r="AA27" s="75"/>
      <c r="AB27" s="75"/>
      <c r="AC27" s="95"/>
      <c r="AD27" s="75"/>
      <c r="AE27" s="75"/>
      <c r="AF27" s="75"/>
      <c r="AG27" s="75"/>
      <c r="AH27" s="75"/>
      <c r="AI27" s="75"/>
      <c r="AJ27" s="79"/>
      <c r="AK27" s="79"/>
      <c r="AL27" s="79"/>
      <c r="AM27" s="79"/>
      <c r="AN27" s="75"/>
      <c r="AO27" s="75"/>
      <c r="AP27" s="75"/>
      <c r="AQ27" s="75"/>
      <c r="AR27" s="75"/>
      <c r="AS27" s="75"/>
      <c r="AT27" s="75"/>
      <c r="AU27" s="79"/>
      <c r="AV27" s="86"/>
      <c r="AW27" s="86"/>
      <c r="AX27" s="79"/>
      <c r="AY27" s="79"/>
      <c r="AZ27" s="86"/>
      <c r="BA27" s="86"/>
      <c r="BB27" s="79"/>
      <c r="BC27" s="79"/>
      <c r="BD27" s="86"/>
      <c r="BE27" s="86"/>
      <c r="BF27" s="79"/>
      <c r="BG27" s="79"/>
      <c r="BH27" s="79"/>
      <c r="BI27" s="86"/>
      <c r="BJ27" s="86"/>
      <c r="BK27" s="89"/>
      <c r="BL27" s="7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69"/>
    </row>
    <row r="28" spans="1:83" s="97" customFormat="1" ht="18" hidden="1" outlineLevel="1" x14ac:dyDescent="0.25">
      <c r="A28" s="269"/>
      <c r="B28" s="98">
        <v>13</v>
      </c>
      <c r="C28" s="99" t="s">
        <v>196</v>
      </c>
      <c r="D28" s="412">
        <f t="shared" si="0"/>
        <v>52500</v>
      </c>
      <c r="E28" s="75" t="s">
        <v>38</v>
      </c>
      <c r="F28" s="254">
        <v>18</v>
      </c>
      <c r="G28" s="252">
        <f>VLOOKUP(F28,$R$169:$AB$190,11,FALSE)</f>
        <v>4858</v>
      </c>
      <c r="H28" s="252">
        <f>VLOOKUP(F28,$R$169:$AA$190,10,FALSE)</f>
        <v>35</v>
      </c>
      <c r="I28" s="256">
        <f>IFERROR(Sonnenküste!$G33/Sonnenküste!$H33,"")</f>
        <v>135.92592592592592</v>
      </c>
      <c r="J28" s="101"/>
      <c r="K28" s="101"/>
      <c r="L28" s="101"/>
      <c r="M28" s="101"/>
      <c r="N28" s="244"/>
      <c r="O28" s="101"/>
      <c r="P28" s="221"/>
      <c r="Q28" s="101"/>
      <c r="R28" s="79"/>
      <c r="S28" s="79"/>
      <c r="T28" s="79"/>
      <c r="U28" s="79"/>
      <c r="V28" s="79"/>
      <c r="W28" s="79"/>
      <c r="X28" s="79"/>
      <c r="Y28" s="79"/>
      <c r="Z28" s="75"/>
      <c r="AA28" s="75"/>
      <c r="AB28" s="75"/>
      <c r="AC28" s="95"/>
      <c r="AD28" s="75"/>
      <c r="AE28" s="75"/>
      <c r="AF28" s="75"/>
      <c r="AG28" s="75"/>
      <c r="AH28" s="75"/>
      <c r="AI28" s="75"/>
      <c r="AJ28" s="79"/>
      <c r="AK28" s="79"/>
      <c r="AL28" s="79"/>
      <c r="AM28" s="79"/>
      <c r="AN28" s="75"/>
      <c r="AO28" s="75"/>
      <c r="AP28" s="75"/>
      <c r="AQ28" s="75"/>
      <c r="AR28" s="75"/>
      <c r="AS28" s="75"/>
      <c r="AT28" s="75"/>
      <c r="AU28" s="79"/>
      <c r="AV28" s="86"/>
      <c r="AW28" s="86"/>
      <c r="AX28" s="79"/>
      <c r="AY28" s="79"/>
      <c r="AZ28" s="86"/>
      <c r="BA28" s="86"/>
      <c r="BB28" s="79"/>
      <c r="BC28" s="79"/>
      <c r="BD28" s="86"/>
      <c r="BE28" s="86"/>
      <c r="BF28" s="79"/>
      <c r="BG28" s="79"/>
      <c r="BH28" s="79"/>
      <c r="BI28" s="86"/>
      <c r="BJ28" s="86"/>
      <c r="BK28" s="89"/>
      <c r="BL28" s="7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69"/>
    </row>
    <row r="29" spans="1:83" s="97" customFormat="1" ht="18" hidden="1" outlineLevel="1" x14ac:dyDescent="0.25">
      <c r="A29" s="269"/>
      <c r="B29" s="98">
        <v>14</v>
      </c>
      <c r="C29" s="99" t="s">
        <v>197</v>
      </c>
      <c r="D29" s="412">
        <f t="shared" si="0"/>
        <v>55000</v>
      </c>
      <c r="E29" s="75" t="s">
        <v>113</v>
      </c>
      <c r="F29" s="254">
        <v>10</v>
      </c>
      <c r="G29" s="252">
        <f>VLOOKUP(F29,$R$169:$AB$190,11,FALSE)</f>
        <v>4552</v>
      </c>
      <c r="H29" s="252">
        <f>VLOOKUP(F29,$R$169:$AA$190,10,FALSE)</f>
        <v>28</v>
      </c>
      <c r="I29" s="256">
        <f>IFERROR(Sonnenküste!$G25/Sonnenküste!$H25,"")</f>
        <v>130.38461538461539</v>
      </c>
      <c r="J29" s="101"/>
      <c r="K29" s="101"/>
      <c r="L29" s="101"/>
      <c r="M29" s="101"/>
      <c r="N29" s="244"/>
      <c r="O29" s="101"/>
      <c r="P29" s="221"/>
      <c r="Q29" s="101"/>
      <c r="R29" s="79"/>
      <c r="S29" s="79"/>
      <c r="T29" s="79"/>
      <c r="U29" s="79"/>
      <c r="V29" s="79"/>
      <c r="W29" s="79"/>
      <c r="X29" s="79"/>
      <c r="Y29" s="79"/>
      <c r="Z29" s="75"/>
      <c r="AA29" s="75"/>
      <c r="AB29" s="75"/>
      <c r="AC29" s="95"/>
      <c r="AD29" s="75"/>
      <c r="AE29" s="75"/>
      <c r="AF29" s="75"/>
      <c r="AG29" s="75"/>
      <c r="AH29" s="75"/>
      <c r="AI29" s="75"/>
      <c r="AJ29" s="79"/>
      <c r="AK29" s="79"/>
      <c r="AL29" s="79"/>
      <c r="AM29" s="79"/>
      <c r="AN29" s="75"/>
      <c r="AO29" s="75"/>
      <c r="AP29" s="75"/>
      <c r="AQ29" s="75"/>
      <c r="AR29" s="75"/>
      <c r="AS29" s="75"/>
      <c r="AT29" s="75"/>
      <c r="AU29" s="79"/>
      <c r="AV29" s="86"/>
      <c r="AW29" s="86"/>
      <c r="AX29" s="79"/>
      <c r="AY29" s="79"/>
      <c r="AZ29" s="86"/>
      <c r="BA29" s="86"/>
      <c r="BB29" s="79"/>
      <c r="BC29" s="79"/>
      <c r="BD29" s="86"/>
      <c r="BE29" s="86"/>
      <c r="BF29" s="79"/>
      <c r="BG29" s="79"/>
      <c r="BH29" s="79"/>
      <c r="BI29" s="86"/>
      <c r="BJ29" s="86"/>
      <c r="BK29" s="89"/>
      <c r="BL29" s="7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69"/>
    </row>
    <row r="30" spans="1:83" s="97" customFormat="1" ht="18" hidden="1" outlineLevel="1" x14ac:dyDescent="0.25">
      <c r="A30" s="269"/>
      <c r="B30" s="98">
        <v>15</v>
      </c>
      <c r="C30" s="99" t="s">
        <v>198</v>
      </c>
      <c r="D30" s="412">
        <f t="shared" si="0"/>
        <v>57500</v>
      </c>
      <c r="E30" s="75" t="s">
        <v>39</v>
      </c>
      <c r="F30" s="254">
        <v>9</v>
      </c>
      <c r="G30" s="252">
        <f>VLOOKUP(F30,$R$169:$AB$190,11,FALSE)</f>
        <v>4488</v>
      </c>
      <c r="H30" s="252">
        <f>VLOOKUP(F30,$R$169:$AA$190,10,FALSE)</f>
        <v>28</v>
      </c>
      <c r="I30" s="256">
        <f>IFERROR(Sonnenküste!$G24/Sonnenküste!$H24,"")</f>
        <v>171.42500000000001</v>
      </c>
      <c r="J30" s="101"/>
      <c r="K30" s="101"/>
      <c r="L30" s="101"/>
      <c r="M30" s="101"/>
      <c r="N30" s="244"/>
      <c r="O30" s="101"/>
      <c r="P30" s="221"/>
      <c r="Q30" s="101"/>
      <c r="R30" s="79"/>
      <c r="S30" s="79"/>
      <c r="T30" s="79"/>
      <c r="U30" s="79"/>
      <c r="V30" s="79"/>
      <c r="W30" s="79"/>
      <c r="X30" s="79"/>
      <c r="Y30" s="79"/>
      <c r="Z30" s="75"/>
      <c r="AA30" s="75"/>
      <c r="AB30" s="75"/>
      <c r="AC30" s="95"/>
      <c r="AD30" s="75"/>
      <c r="AE30" s="75"/>
      <c r="AF30" s="75"/>
      <c r="AG30" s="75"/>
      <c r="AH30" s="75"/>
      <c r="AI30" s="75"/>
      <c r="AJ30" s="79"/>
      <c r="AK30" s="79"/>
      <c r="AL30" s="79"/>
      <c r="AM30" s="79"/>
      <c r="AN30" s="75"/>
      <c r="AO30" s="75"/>
      <c r="AP30" s="75"/>
      <c r="AQ30" s="75"/>
      <c r="AR30" s="75"/>
      <c r="AS30" s="75"/>
      <c r="AT30" s="75"/>
      <c r="AU30" s="79"/>
      <c r="AV30" s="86"/>
      <c r="AW30" s="86"/>
      <c r="AX30" s="79"/>
      <c r="AY30" s="79"/>
      <c r="AZ30" s="86"/>
      <c r="BA30" s="86"/>
      <c r="BB30" s="79"/>
      <c r="BC30" s="79"/>
      <c r="BD30" s="86"/>
      <c r="BE30" s="86"/>
      <c r="BF30" s="79"/>
      <c r="BG30" s="79"/>
      <c r="BH30" s="79"/>
      <c r="BI30" s="86"/>
      <c r="BJ30" s="86"/>
      <c r="BK30" s="89"/>
      <c r="BL30" s="7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69"/>
    </row>
    <row r="31" spans="1:83" s="97" customFormat="1" ht="18" hidden="1" outlineLevel="1" x14ac:dyDescent="0.25">
      <c r="A31" s="269"/>
      <c r="B31" s="98">
        <v>16</v>
      </c>
      <c r="C31" s="99" t="s">
        <v>199</v>
      </c>
      <c r="D31" s="412">
        <f t="shared" si="0"/>
        <v>60000</v>
      </c>
      <c r="E31" s="75" t="s">
        <v>114</v>
      </c>
      <c r="F31" s="254">
        <v>6</v>
      </c>
      <c r="G31" s="252">
        <f>VLOOKUP(F31,$R$169:$AB$190,11,FALSE)</f>
        <v>4319</v>
      </c>
      <c r="H31" s="252">
        <f>VLOOKUP(F31,$R$169:$AA$190,10,FALSE)</f>
        <v>35</v>
      </c>
      <c r="I31" s="256">
        <f>IFERROR(Sonnenküste!$G21/Sonnenküste!$H21,"")</f>
        <v>141.671875</v>
      </c>
      <c r="J31" s="101"/>
      <c r="K31" s="101"/>
      <c r="L31" s="101"/>
      <c r="M31" s="101"/>
      <c r="N31" s="244"/>
      <c r="O31" s="101"/>
      <c r="P31" s="221"/>
      <c r="Q31" s="101"/>
      <c r="R31" s="79"/>
      <c r="S31" s="79"/>
      <c r="T31" s="79"/>
      <c r="U31" s="79"/>
      <c r="V31" s="79"/>
      <c r="W31" s="79"/>
      <c r="X31" s="79"/>
      <c r="Y31" s="79"/>
      <c r="Z31" s="75"/>
      <c r="AA31" s="75"/>
      <c r="AB31" s="75"/>
      <c r="AC31" s="95"/>
      <c r="AD31" s="75"/>
      <c r="AE31" s="75"/>
      <c r="AF31" s="75"/>
      <c r="AG31" s="75"/>
      <c r="AH31" s="75"/>
      <c r="AI31" s="75"/>
      <c r="AJ31" s="79"/>
      <c r="AK31" s="79"/>
      <c r="AL31" s="79"/>
      <c r="AM31" s="79"/>
      <c r="AN31" s="75"/>
      <c r="AO31" s="75"/>
      <c r="AP31" s="75"/>
      <c r="AQ31" s="75"/>
      <c r="AR31" s="75"/>
      <c r="AS31" s="75"/>
      <c r="AT31" s="75"/>
      <c r="AU31" s="79"/>
      <c r="AV31" s="86"/>
      <c r="AW31" s="86"/>
      <c r="AX31" s="79"/>
      <c r="AY31" s="79"/>
      <c r="AZ31" s="86"/>
      <c r="BA31" s="86"/>
      <c r="BB31" s="79"/>
      <c r="BC31" s="79"/>
      <c r="BD31" s="86"/>
      <c r="BE31" s="86"/>
      <c r="BF31" s="79"/>
      <c r="BG31" s="79"/>
      <c r="BH31" s="79"/>
      <c r="BI31" s="86"/>
      <c r="BJ31" s="86"/>
      <c r="BK31" s="89"/>
      <c r="BL31" s="7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  <c r="BY31" s="269"/>
      <c r="BZ31" s="269"/>
      <c r="CA31" s="269"/>
      <c r="CB31" s="269"/>
      <c r="CC31" s="269"/>
      <c r="CD31" s="269"/>
      <c r="CE31" s="269"/>
    </row>
    <row r="32" spans="1:83" s="97" customFormat="1" ht="18" hidden="1" outlineLevel="1" x14ac:dyDescent="0.25">
      <c r="A32" s="269"/>
      <c r="B32" s="98">
        <v>17</v>
      </c>
      <c r="C32" s="99" t="s">
        <v>200</v>
      </c>
      <c r="D32" s="412">
        <f t="shared" si="0"/>
        <v>62500</v>
      </c>
      <c r="E32" s="75" t="s">
        <v>115</v>
      </c>
      <c r="F32" s="254">
        <v>14</v>
      </c>
      <c r="G32" s="252">
        <f>VLOOKUP(F32,$R$169:$AB$190,11,FALSE)</f>
        <v>4193</v>
      </c>
      <c r="H32" s="252">
        <f>VLOOKUP(F32,$R$169:$AA$190,10,FALSE)</f>
        <v>27</v>
      </c>
      <c r="I32" s="256">
        <f>IFERROR(Sonnenküste!$G29/Sonnenküste!$H29,"")</f>
        <v>162.57142857142858</v>
      </c>
      <c r="J32" s="101"/>
      <c r="K32" s="101"/>
      <c r="L32" s="101"/>
      <c r="M32" s="101"/>
      <c r="N32" s="244"/>
      <c r="O32" s="101"/>
      <c r="P32" s="221"/>
      <c r="Q32" s="101"/>
      <c r="R32" s="79"/>
      <c r="S32" s="79"/>
      <c r="T32" s="79"/>
      <c r="U32" s="79"/>
      <c r="V32" s="79"/>
      <c r="W32" s="79"/>
      <c r="X32" s="79"/>
      <c r="Y32" s="79"/>
      <c r="Z32" s="75"/>
      <c r="AA32" s="75"/>
      <c r="AB32" s="75"/>
      <c r="AC32" s="95"/>
      <c r="AD32" s="75"/>
      <c r="AE32" s="75"/>
      <c r="AF32" s="75"/>
      <c r="AG32" s="75"/>
      <c r="AH32" s="75"/>
      <c r="AI32" s="75"/>
      <c r="AJ32" s="79"/>
      <c r="AK32" s="79"/>
      <c r="AL32" s="79"/>
      <c r="AM32" s="79"/>
      <c r="AN32" s="75"/>
      <c r="AO32" s="75"/>
      <c r="AP32" s="75"/>
      <c r="AQ32" s="75"/>
      <c r="AR32" s="75"/>
      <c r="AS32" s="75"/>
      <c r="AT32" s="75"/>
      <c r="AU32" s="79"/>
      <c r="AV32" s="86"/>
      <c r="AW32" s="86"/>
      <c r="AX32" s="79"/>
      <c r="AY32" s="79"/>
      <c r="AZ32" s="86"/>
      <c r="BA32" s="86"/>
      <c r="BB32" s="79"/>
      <c r="BC32" s="79"/>
      <c r="BD32" s="86"/>
      <c r="BE32" s="86"/>
      <c r="BF32" s="79"/>
      <c r="BG32" s="79"/>
      <c r="BH32" s="79"/>
      <c r="BI32" s="86"/>
      <c r="BJ32" s="86"/>
      <c r="BK32" s="89"/>
      <c r="BL32" s="7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</row>
    <row r="33" spans="1:83" s="97" customFormat="1" ht="18" hidden="1" outlineLevel="1" x14ac:dyDescent="0.25">
      <c r="A33" s="269"/>
      <c r="B33" s="98">
        <v>18</v>
      </c>
      <c r="C33" s="99" t="s">
        <v>201</v>
      </c>
      <c r="D33" s="412">
        <f t="shared" si="0"/>
        <v>65000</v>
      </c>
      <c r="E33" s="75" t="s">
        <v>116</v>
      </c>
      <c r="F33" s="254">
        <v>5</v>
      </c>
      <c r="G33" s="252">
        <f>VLOOKUP(F33,$R$169:$AB$190,11,FALSE)</f>
        <v>3670</v>
      </c>
      <c r="H33" s="252">
        <f>VLOOKUP(F33,$R$169:$AA$190,10,FALSE)</f>
        <v>27</v>
      </c>
      <c r="I33" s="256">
        <f>IFERROR(Sonnenküste!$G20/Sonnenküste!$H20,"")</f>
        <v>143.75308641975309</v>
      </c>
      <c r="J33" s="101"/>
      <c r="K33" s="101"/>
      <c r="L33" s="101"/>
      <c r="M33" s="101"/>
      <c r="N33" s="244"/>
      <c r="O33" s="101"/>
      <c r="P33" s="221"/>
      <c r="Q33" s="101"/>
      <c r="R33" s="79"/>
      <c r="S33" s="79"/>
      <c r="T33" s="79"/>
      <c r="U33" s="79"/>
      <c r="V33" s="79"/>
      <c r="W33" s="79"/>
      <c r="X33" s="79"/>
      <c r="Y33" s="79"/>
      <c r="Z33" s="75"/>
      <c r="AA33" s="75"/>
      <c r="AB33" s="75"/>
      <c r="AC33" s="95"/>
      <c r="AD33" s="75"/>
      <c r="AE33" s="75"/>
      <c r="AF33" s="75"/>
      <c r="AG33" s="75"/>
      <c r="AH33" s="75"/>
      <c r="AI33" s="75"/>
      <c r="AJ33" s="79"/>
      <c r="AK33" s="79"/>
      <c r="AL33" s="79"/>
      <c r="AM33" s="79"/>
      <c r="AN33" s="75"/>
      <c r="AO33" s="75"/>
      <c r="AP33" s="75"/>
      <c r="AQ33" s="75"/>
      <c r="AR33" s="75"/>
      <c r="AS33" s="75"/>
      <c r="AT33" s="75"/>
      <c r="AU33" s="79"/>
      <c r="AV33" s="86"/>
      <c r="AW33" s="86"/>
      <c r="AX33" s="79"/>
      <c r="AY33" s="79"/>
      <c r="AZ33" s="86"/>
      <c r="BA33" s="86"/>
      <c r="BB33" s="79"/>
      <c r="BC33" s="79"/>
      <c r="BD33" s="86"/>
      <c r="BE33" s="86"/>
      <c r="BF33" s="79"/>
      <c r="BG33" s="79"/>
      <c r="BH33" s="79"/>
      <c r="BI33" s="86"/>
      <c r="BJ33" s="86"/>
      <c r="BK33" s="89"/>
      <c r="BL33" s="79"/>
      <c r="BM33" s="269"/>
      <c r="BN33" s="269"/>
      <c r="BO33" s="269"/>
      <c r="BP33" s="269"/>
      <c r="BQ33" s="269"/>
      <c r="BR33" s="269"/>
      <c r="BS33" s="269"/>
      <c r="BT33" s="269"/>
      <c r="BU33" s="269"/>
      <c r="BV33" s="269"/>
      <c r="BW33" s="269"/>
      <c r="BX33" s="269"/>
      <c r="BY33" s="269"/>
      <c r="BZ33" s="269"/>
      <c r="CA33" s="269"/>
      <c r="CB33" s="269"/>
      <c r="CC33" s="269"/>
      <c r="CD33" s="269"/>
      <c r="CE33" s="269"/>
    </row>
    <row r="34" spans="1:83" s="97" customFormat="1" ht="18" hidden="1" outlineLevel="1" x14ac:dyDescent="0.25">
      <c r="A34" s="269"/>
      <c r="B34" s="98">
        <v>19</v>
      </c>
      <c r="C34" s="99" t="s">
        <v>202</v>
      </c>
      <c r="D34" s="412">
        <f t="shared" si="0"/>
        <v>67500</v>
      </c>
      <c r="E34" s="75" t="s">
        <v>119</v>
      </c>
      <c r="F34" s="254">
        <v>12</v>
      </c>
      <c r="G34" s="252">
        <f>VLOOKUP(F34,$R$169:$AB$190,11,FALSE)</f>
        <v>3375</v>
      </c>
      <c r="H34" s="252">
        <f>VLOOKUP(F34,$R$169:$AA$190,10,FALSE)</f>
        <v>26</v>
      </c>
      <c r="I34" s="256">
        <f>IFERROR(Sonnenküste!$G27/Sonnenküste!$H27,"")</f>
        <v>134.8918918918919</v>
      </c>
      <c r="J34" s="101"/>
      <c r="K34" s="101"/>
      <c r="L34" s="101"/>
      <c r="M34" s="101"/>
      <c r="N34" s="244"/>
      <c r="O34" s="101"/>
      <c r="P34" s="221"/>
      <c r="Q34" s="101"/>
      <c r="R34" s="79"/>
      <c r="S34" s="79"/>
      <c r="T34" s="79"/>
      <c r="U34" s="79"/>
      <c r="V34" s="79"/>
      <c r="W34" s="79"/>
      <c r="X34" s="79"/>
      <c r="Y34" s="79"/>
      <c r="Z34" s="75"/>
      <c r="AA34" s="75"/>
      <c r="AB34" s="75"/>
      <c r="AC34" s="95"/>
      <c r="AD34" s="75"/>
      <c r="AE34" s="75"/>
      <c r="AF34" s="75"/>
      <c r="AG34" s="75"/>
      <c r="AH34" s="75"/>
      <c r="AI34" s="75"/>
      <c r="AJ34" s="79"/>
      <c r="AK34" s="79"/>
      <c r="AL34" s="79"/>
      <c r="AM34" s="79"/>
      <c r="AN34" s="75"/>
      <c r="AO34" s="75"/>
      <c r="AP34" s="75"/>
      <c r="AQ34" s="75"/>
      <c r="AR34" s="75"/>
      <c r="AS34" s="75"/>
      <c r="AT34" s="75"/>
      <c r="AU34" s="79"/>
      <c r="AV34" s="86"/>
      <c r="AW34" s="86"/>
      <c r="AX34" s="79"/>
      <c r="AY34" s="79"/>
      <c r="AZ34" s="86"/>
      <c r="BA34" s="86"/>
      <c r="BB34" s="79"/>
      <c r="BC34" s="79"/>
      <c r="BD34" s="86"/>
      <c r="BE34" s="86"/>
      <c r="BF34" s="79"/>
      <c r="BG34" s="79"/>
      <c r="BH34" s="79"/>
      <c r="BI34" s="86"/>
      <c r="BJ34" s="86"/>
      <c r="BK34" s="89"/>
      <c r="BL34" s="79"/>
      <c r="BM34" s="269"/>
      <c r="BN34" s="269"/>
      <c r="BO34" s="269"/>
      <c r="BP34" s="269"/>
      <c r="BQ34" s="269"/>
      <c r="BR34" s="269"/>
      <c r="BS34" s="269"/>
      <c r="BT34" s="269"/>
      <c r="BU34" s="269"/>
      <c r="BV34" s="269"/>
      <c r="BW34" s="269"/>
      <c r="BX34" s="269"/>
      <c r="BY34" s="269"/>
      <c r="BZ34" s="269"/>
      <c r="CA34" s="269"/>
      <c r="CB34" s="269"/>
      <c r="CC34" s="269"/>
      <c r="CD34" s="269"/>
      <c r="CE34" s="269"/>
    </row>
    <row r="35" spans="1:83" s="97" customFormat="1" ht="18" hidden="1" outlineLevel="1" x14ac:dyDescent="0.25">
      <c r="A35" s="269"/>
      <c r="B35" s="98">
        <v>20</v>
      </c>
      <c r="C35" s="99" t="s">
        <v>203</v>
      </c>
      <c r="D35" s="412">
        <f t="shared" si="0"/>
        <v>70000</v>
      </c>
      <c r="E35" s="75" t="s">
        <v>117</v>
      </c>
      <c r="F35" s="254">
        <v>11</v>
      </c>
      <c r="G35" s="252">
        <f>VLOOKUP(F35,$R$169:$AB$190,11,FALSE)</f>
        <v>3211</v>
      </c>
      <c r="H35" s="252">
        <f>VLOOKUP(F35,$R$169:$AA$190,10,FALSE)</f>
        <v>23</v>
      </c>
      <c r="I35" s="256">
        <f>IFERROR(Sonnenküste!$G26/Sonnenküste!$H26,"")</f>
        <v>146.97058823529412</v>
      </c>
      <c r="J35" s="101"/>
      <c r="K35" s="101"/>
      <c r="L35" s="101"/>
      <c r="M35" s="101"/>
      <c r="N35" s="244"/>
      <c r="O35" s="101"/>
      <c r="P35" s="221"/>
      <c r="Q35" s="101"/>
      <c r="R35" s="79"/>
      <c r="S35" s="79"/>
      <c r="T35" s="79"/>
      <c r="U35" s="79"/>
      <c r="V35" s="79"/>
      <c r="W35" s="79"/>
      <c r="X35" s="79"/>
      <c r="Y35" s="79"/>
      <c r="Z35" s="75"/>
      <c r="AA35" s="75"/>
      <c r="AB35" s="75"/>
      <c r="AC35" s="95"/>
      <c r="AD35" s="75"/>
      <c r="AE35" s="75"/>
      <c r="AF35" s="75"/>
      <c r="AG35" s="75"/>
      <c r="AH35" s="75"/>
      <c r="AI35" s="75"/>
      <c r="AJ35" s="79"/>
      <c r="AK35" s="79"/>
      <c r="AL35" s="79"/>
      <c r="AM35" s="79"/>
      <c r="AN35" s="75"/>
      <c r="AO35" s="75"/>
      <c r="AP35" s="75"/>
      <c r="AQ35" s="75"/>
      <c r="AR35" s="75"/>
      <c r="AS35" s="75"/>
      <c r="AT35" s="75"/>
      <c r="AU35" s="79"/>
      <c r="AV35" s="86"/>
      <c r="AW35" s="86"/>
      <c r="AX35" s="79"/>
      <c r="AY35" s="79"/>
      <c r="AZ35" s="86"/>
      <c r="BA35" s="86"/>
      <c r="BB35" s="79"/>
      <c r="BC35" s="79"/>
      <c r="BD35" s="86"/>
      <c r="BE35" s="86"/>
      <c r="BF35" s="79"/>
      <c r="BG35" s="79"/>
      <c r="BH35" s="79"/>
      <c r="BI35" s="86"/>
      <c r="BJ35" s="86"/>
      <c r="BK35" s="89"/>
      <c r="BL35" s="79"/>
      <c r="BM35" s="269"/>
      <c r="BN35" s="269"/>
      <c r="BO35" s="269"/>
      <c r="BP35" s="269"/>
      <c r="BQ35" s="269"/>
      <c r="BR35" s="269"/>
      <c r="BS35" s="269"/>
      <c r="BT35" s="269"/>
      <c r="BU35" s="269"/>
      <c r="BV35" s="269"/>
      <c r="BW35" s="269"/>
      <c r="BX35" s="269"/>
      <c r="BY35" s="269"/>
      <c r="BZ35" s="269"/>
      <c r="CA35" s="269"/>
      <c r="CB35" s="269"/>
      <c r="CC35" s="269"/>
      <c r="CD35" s="269"/>
      <c r="CE35" s="269"/>
    </row>
    <row r="36" spans="1:83" s="97" customFormat="1" ht="18" hidden="1" outlineLevel="1" x14ac:dyDescent="0.25">
      <c r="A36" s="269"/>
      <c r="B36" s="98">
        <v>21</v>
      </c>
      <c r="C36" s="99" t="s">
        <v>204</v>
      </c>
      <c r="D36" s="412">
        <f t="shared" si="0"/>
        <v>72500</v>
      </c>
      <c r="E36" s="75" t="s">
        <v>118</v>
      </c>
      <c r="F36" s="254">
        <v>13</v>
      </c>
      <c r="G36" s="252">
        <f>VLOOKUP(F36,$R$169:$AB$190,11,FALSE)</f>
        <v>2656</v>
      </c>
      <c r="H36" s="252">
        <f>VLOOKUP(F36,$R$169:$AA$190,10,FALSE)</f>
        <v>16</v>
      </c>
      <c r="I36" s="256">
        <f>IFERROR(Sonnenküste!$G28/Sonnenküste!$H28,"")</f>
        <v>138.80000000000001</v>
      </c>
      <c r="J36" s="101"/>
      <c r="K36" s="101"/>
      <c r="L36" s="101"/>
      <c r="M36" s="101"/>
      <c r="N36" s="244"/>
      <c r="O36" s="101"/>
      <c r="P36" s="221"/>
      <c r="Q36" s="101"/>
      <c r="R36" s="79"/>
      <c r="S36" s="79"/>
      <c r="T36" s="79"/>
      <c r="U36" s="79"/>
      <c r="V36" s="79"/>
      <c r="W36" s="79"/>
      <c r="X36" s="79"/>
      <c r="Y36" s="79"/>
      <c r="Z36" s="75"/>
      <c r="AA36" s="75"/>
      <c r="AB36" s="75"/>
      <c r="AC36" s="95"/>
      <c r="AD36" s="75"/>
      <c r="AE36" s="75"/>
      <c r="AF36" s="75"/>
      <c r="AG36" s="75"/>
      <c r="AH36" s="75"/>
      <c r="AI36" s="75"/>
      <c r="AJ36" s="79"/>
      <c r="AK36" s="79"/>
      <c r="AL36" s="79"/>
      <c r="AM36" s="79"/>
      <c r="AN36" s="75"/>
      <c r="AO36" s="75"/>
      <c r="AP36" s="75"/>
      <c r="AQ36" s="75"/>
      <c r="AR36" s="75"/>
      <c r="AS36" s="75"/>
      <c r="AT36" s="75"/>
      <c r="AU36" s="79"/>
      <c r="AV36" s="86"/>
      <c r="AW36" s="86"/>
      <c r="AX36" s="79"/>
      <c r="AY36" s="79"/>
      <c r="AZ36" s="86"/>
      <c r="BA36" s="86"/>
      <c r="BB36" s="79"/>
      <c r="BC36" s="79"/>
      <c r="BD36" s="86"/>
      <c r="BE36" s="86"/>
      <c r="BF36" s="79"/>
      <c r="BG36" s="79"/>
      <c r="BH36" s="79"/>
      <c r="BI36" s="86"/>
      <c r="BJ36" s="86"/>
      <c r="BK36" s="89"/>
      <c r="BL36" s="7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69"/>
      <c r="BX36" s="269"/>
      <c r="BY36" s="269"/>
      <c r="BZ36" s="269"/>
      <c r="CA36" s="269"/>
      <c r="CB36" s="269"/>
      <c r="CC36" s="269"/>
      <c r="CD36" s="269"/>
      <c r="CE36" s="269"/>
    </row>
    <row r="37" spans="1:83" s="97" customFormat="1" ht="18" hidden="1" outlineLevel="1" x14ac:dyDescent="0.3">
      <c r="A37" s="269"/>
      <c r="B37" s="98">
        <v>22</v>
      </c>
      <c r="C37" s="99" t="s">
        <v>205</v>
      </c>
      <c r="D37" s="412">
        <f t="shared" si="0"/>
        <v>75000</v>
      </c>
      <c r="E37" s="104"/>
      <c r="F37" s="101"/>
      <c r="G37" s="101"/>
      <c r="H37" s="101"/>
      <c r="I37" s="101"/>
      <c r="J37" s="101"/>
      <c r="K37" s="101"/>
      <c r="L37" s="101"/>
      <c r="M37" s="101"/>
      <c r="N37" s="244"/>
      <c r="O37" s="101"/>
      <c r="P37" s="221"/>
      <c r="Q37" s="101"/>
      <c r="R37" s="79"/>
      <c r="S37" s="79"/>
      <c r="T37" s="79"/>
      <c r="U37" s="79"/>
      <c r="V37" s="79"/>
      <c r="W37" s="79"/>
      <c r="X37" s="79"/>
      <c r="Y37" s="79"/>
      <c r="Z37" s="75"/>
      <c r="AA37" s="75"/>
      <c r="AB37" s="75"/>
      <c r="AC37" s="95"/>
      <c r="AD37" s="75"/>
      <c r="AE37" s="75"/>
      <c r="AF37" s="75"/>
      <c r="AG37" s="75"/>
      <c r="AH37" s="75"/>
      <c r="AI37" s="75"/>
      <c r="AJ37" s="75"/>
      <c r="AK37" s="79"/>
      <c r="AL37" s="79"/>
      <c r="AM37" s="79"/>
      <c r="AN37" s="75"/>
      <c r="AO37" s="75"/>
      <c r="AP37" s="75"/>
      <c r="AQ37" s="75"/>
      <c r="AR37" s="75"/>
      <c r="AS37" s="75"/>
      <c r="AT37" s="75"/>
      <c r="AU37" s="79"/>
      <c r="AV37" s="86"/>
      <c r="AW37" s="86"/>
      <c r="AX37" s="79"/>
      <c r="AY37" s="79"/>
      <c r="AZ37" s="86"/>
      <c r="BA37" s="86"/>
      <c r="BB37" s="79"/>
      <c r="BC37" s="79"/>
      <c r="BD37" s="86"/>
      <c r="BE37" s="86"/>
      <c r="BF37" s="79"/>
      <c r="BG37" s="79"/>
      <c r="BH37" s="79"/>
      <c r="BI37" s="86"/>
      <c r="BJ37" s="86"/>
      <c r="BK37" s="89"/>
      <c r="BL37" s="79"/>
      <c r="BM37" s="269"/>
      <c r="BN37" s="269"/>
      <c r="BO37" s="269"/>
      <c r="BP37" s="269"/>
      <c r="BQ37" s="269"/>
      <c r="BR37" s="269"/>
      <c r="BS37" s="269"/>
      <c r="BT37" s="269"/>
      <c r="BU37" s="269"/>
      <c r="BV37" s="269"/>
      <c r="BW37" s="269"/>
      <c r="BX37" s="269"/>
      <c r="BY37" s="269"/>
      <c r="BZ37" s="269"/>
      <c r="CA37" s="269"/>
      <c r="CB37" s="269"/>
      <c r="CC37" s="269"/>
      <c r="CD37" s="269"/>
      <c r="CE37" s="269"/>
    </row>
    <row r="38" spans="1:83" s="97" customFormat="1" ht="18" hidden="1" outlineLevel="1" x14ac:dyDescent="0.3">
      <c r="A38" s="269"/>
      <c r="B38" s="98">
        <v>23</v>
      </c>
      <c r="C38" s="99" t="s">
        <v>206</v>
      </c>
      <c r="D38" s="412">
        <f t="shared" si="0"/>
        <v>77500</v>
      </c>
      <c r="E38" s="104"/>
      <c r="F38" s="101"/>
      <c r="G38" s="101"/>
      <c r="H38" s="101"/>
      <c r="I38" s="101"/>
      <c r="J38" s="101"/>
      <c r="K38" s="101"/>
      <c r="L38" s="101"/>
      <c r="M38" s="101"/>
      <c r="N38" s="244"/>
      <c r="O38" s="101"/>
      <c r="P38" s="221"/>
      <c r="Q38" s="101"/>
      <c r="R38" s="79"/>
      <c r="S38" s="79"/>
      <c r="T38" s="79"/>
      <c r="U38" s="79"/>
      <c r="V38" s="79"/>
      <c r="W38" s="79"/>
      <c r="X38" s="79"/>
      <c r="Y38" s="79"/>
      <c r="Z38" s="75"/>
      <c r="AA38" s="75"/>
      <c r="AB38" s="75"/>
      <c r="AC38" s="95"/>
      <c r="AD38" s="75"/>
      <c r="AE38" s="75"/>
      <c r="AF38" s="75"/>
      <c r="AG38" s="75"/>
      <c r="AH38" s="75"/>
      <c r="AI38" s="75"/>
      <c r="AJ38" s="75"/>
      <c r="AK38" s="79"/>
      <c r="AL38" s="79"/>
      <c r="AM38" s="79"/>
      <c r="AN38" s="75"/>
      <c r="AO38" s="75"/>
      <c r="AP38" s="75"/>
      <c r="AQ38" s="75"/>
      <c r="AR38" s="75"/>
      <c r="AS38" s="75"/>
      <c r="AT38" s="75"/>
      <c r="AU38" s="79"/>
      <c r="AV38" s="86"/>
      <c r="AW38" s="86"/>
      <c r="AX38" s="79"/>
      <c r="AY38" s="79"/>
      <c r="AZ38" s="86"/>
      <c r="BA38" s="86"/>
      <c r="BB38" s="79"/>
      <c r="BC38" s="79"/>
      <c r="BD38" s="86"/>
      <c r="BE38" s="86"/>
      <c r="BF38" s="79"/>
      <c r="BG38" s="79"/>
      <c r="BH38" s="79"/>
      <c r="BI38" s="86"/>
      <c r="BJ38" s="86"/>
      <c r="BK38" s="89"/>
      <c r="BL38" s="7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  <c r="BY38" s="269"/>
      <c r="BZ38" s="269"/>
      <c r="CA38" s="269"/>
      <c r="CB38" s="269"/>
      <c r="CC38" s="269"/>
      <c r="CD38" s="269"/>
      <c r="CE38" s="269"/>
    </row>
    <row r="39" spans="1:83" s="97" customFormat="1" ht="18" hidden="1" outlineLevel="1" x14ac:dyDescent="0.3">
      <c r="A39" s="269"/>
      <c r="B39" s="98">
        <v>24</v>
      </c>
      <c r="C39" s="99" t="s">
        <v>207</v>
      </c>
      <c r="D39" s="412">
        <f t="shared" si="0"/>
        <v>80000</v>
      </c>
      <c r="E39" s="104"/>
      <c r="F39" s="101"/>
      <c r="G39" s="101"/>
      <c r="H39" s="101"/>
      <c r="I39" s="101"/>
      <c r="J39" s="101"/>
      <c r="K39" s="101"/>
      <c r="L39" s="101"/>
      <c r="M39" s="101"/>
      <c r="N39" s="244"/>
      <c r="O39" s="101"/>
      <c r="P39" s="221"/>
      <c r="Q39" s="101"/>
      <c r="R39" s="79"/>
      <c r="S39" s="79"/>
      <c r="T39" s="79"/>
      <c r="U39" s="79"/>
      <c r="V39" s="79"/>
      <c r="W39" s="79"/>
      <c r="X39" s="79"/>
      <c r="Y39" s="79"/>
      <c r="Z39" s="75"/>
      <c r="AA39" s="75"/>
      <c r="AB39" s="75"/>
      <c r="AC39" s="95"/>
      <c r="AD39" s="75"/>
      <c r="AE39" s="75"/>
      <c r="AF39" s="75"/>
      <c r="AG39" s="75"/>
      <c r="AH39" s="75"/>
      <c r="AI39" s="75"/>
      <c r="AJ39" s="75"/>
      <c r="AK39" s="79"/>
      <c r="AL39" s="79"/>
      <c r="AM39" s="79"/>
      <c r="AN39" s="75"/>
      <c r="AO39" s="75"/>
      <c r="AP39" s="75"/>
      <c r="AQ39" s="75"/>
      <c r="AR39" s="75"/>
      <c r="AS39" s="75"/>
      <c r="AT39" s="75"/>
      <c r="AU39" s="79"/>
      <c r="AV39" s="86"/>
      <c r="AW39" s="86"/>
      <c r="AX39" s="79"/>
      <c r="AY39" s="79"/>
      <c r="AZ39" s="86"/>
      <c r="BA39" s="86"/>
      <c r="BB39" s="79"/>
      <c r="BC39" s="79"/>
      <c r="BD39" s="86"/>
      <c r="BE39" s="86"/>
      <c r="BF39" s="79"/>
      <c r="BG39" s="79"/>
      <c r="BH39" s="79"/>
      <c r="BI39" s="86"/>
      <c r="BJ39" s="86"/>
      <c r="BK39" s="89"/>
      <c r="BL39" s="7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</row>
    <row r="40" spans="1:83" s="97" customFormat="1" ht="18" hidden="1" outlineLevel="1" x14ac:dyDescent="0.3">
      <c r="A40" s="269"/>
      <c r="B40" s="98">
        <v>25</v>
      </c>
      <c r="C40" s="104" t="s">
        <v>208</v>
      </c>
      <c r="D40" s="412">
        <f>D39+5000</f>
        <v>85000</v>
      </c>
      <c r="E40" s="104"/>
      <c r="F40" s="101"/>
      <c r="G40" s="101"/>
      <c r="H40" s="101"/>
      <c r="I40" s="101"/>
      <c r="J40" s="101"/>
      <c r="K40" s="101"/>
      <c r="L40" s="101"/>
      <c r="M40" s="101"/>
      <c r="N40" s="244"/>
      <c r="O40" s="101"/>
      <c r="P40" s="221"/>
      <c r="Q40" s="101"/>
      <c r="R40" s="79"/>
      <c r="S40" s="79"/>
      <c r="T40" s="79"/>
      <c r="U40" s="79"/>
      <c r="V40" s="79"/>
      <c r="W40" s="79"/>
      <c r="X40" s="79"/>
      <c r="Y40" s="79"/>
      <c r="Z40" s="75"/>
      <c r="AA40" s="75"/>
      <c r="AB40" s="75"/>
      <c r="AC40" s="95"/>
      <c r="AD40" s="75"/>
      <c r="AE40" s="75"/>
      <c r="AF40" s="75"/>
      <c r="AG40" s="75"/>
      <c r="AH40" s="75"/>
      <c r="AI40" s="75"/>
      <c r="AJ40" s="75"/>
      <c r="AK40" s="79"/>
      <c r="AL40" s="79"/>
      <c r="AM40" s="79"/>
      <c r="AN40" s="75"/>
      <c r="AO40" s="75"/>
      <c r="AP40" s="75"/>
      <c r="AQ40" s="75"/>
      <c r="AR40" s="75"/>
      <c r="AS40" s="75"/>
      <c r="AT40" s="75"/>
      <c r="AU40" s="79"/>
      <c r="AV40" s="86"/>
      <c r="AW40" s="86"/>
      <c r="AX40" s="79"/>
      <c r="AY40" s="79"/>
      <c r="AZ40" s="86"/>
      <c r="BA40" s="86"/>
      <c r="BB40" s="79"/>
      <c r="BC40" s="79"/>
      <c r="BD40" s="86"/>
      <c r="BE40" s="86"/>
      <c r="BF40" s="79"/>
      <c r="BG40" s="79"/>
      <c r="BH40" s="79"/>
      <c r="BI40" s="86"/>
      <c r="BJ40" s="86"/>
      <c r="BK40" s="89"/>
      <c r="BL40" s="7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</row>
    <row r="41" spans="1:83" s="97" customFormat="1" ht="18" hidden="1" outlineLevel="1" x14ac:dyDescent="0.3">
      <c r="A41" s="269"/>
      <c r="B41" s="98">
        <v>26</v>
      </c>
      <c r="C41" s="104" t="s">
        <v>209</v>
      </c>
      <c r="D41" s="412">
        <f t="shared" ref="D41:D63" si="1">D40+5000</f>
        <v>90000</v>
      </c>
      <c r="E41" s="105"/>
      <c r="F41" s="101"/>
      <c r="G41" s="101"/>
      <c r="H41" s="101"/>
      <c r="I41" s="101"/>
      <c r="J41" s="101"/>
      <c r="K41" s="101"/>
      <c r="L41" s="101"/>
      <c r="M41" s="101"/>
      <c r="N41" s="244"/>
      <c r="O41" s="101"/>
      <c r="P41" s="221"/>
      <c r="Q41" s="101"/>
      <c r="R41" s="79"/>
      <c r="S41" s="79"/>
      <c r="T41" s="79"/>
      <c r="U41" s="79"/>
      <c r="V41" s="79"/>
      <c r="W41" s="79"/>
      <c r="X41" s="79"/>
      <c r="Y41" s="79"/>
      <c r="Z41" s="75"/>
      <c r="AA41" s="75"/>
      <c r="AB41" s="75"/>
      <c r="AC41" s="95"/>
      <c r="AD41" s="75"/>
      <c r="AE41" s="75"/>
      <c r="AF41" s="75"/>
      <c r="AG41" s="75"/>
      <c r="AH41" s="75"/>
      <c r="AI41" s="75"/>
      <c r="AJ41" s="75"/>
      <c r="AK41" s="79"/>
      <c r="AL41" s="79"/>
      <c r="AM41" s="79"/>
      <c r="AN41" s="75"/>
      <c r="AO41" s="75"/>
      <c r="AP41" s="75"/>
      <c r="AQ41" s="75"/>
      <c r="AR41" s="75"/>
      <c r="AS41" s="75"/>
      <c r="AT41" s="75"/>
      <c r="AU41" s="79"/>
      <c r="AV41" s="86"/>
      <c r="AW41" s="86"/>
      <c r="AX41" s="79"/>
      <c r="AY41" s="79"/>
      <c r="AZ41" s="86"/>
      <c r="BA41" s="86"/>
      <c r="BB41" s="79"/>
      <c r="BC41" s="79"/>
      <c r="BD41" s="86"/>
      <c r="BE41" s="86"/>
      <c r="BF41" s="79"/>
      <c r="BG41" s="79"/>
      <c r="BH41" s="79"/>
      <c r="BI41" s="86"/>
      <c r="BJ41" s="86"/>
      <c r="BK41" s="89"/>
      <c r="BL41" s="79"/>
      <c r="BM41" s="269"/>
      <c r="BN41" s="269"/>
      <c r="BO41" s="269"/>
      <c r="BP41" s="269"/>
      <c r="BQ41" s="269"/>
      <c r="BR41" s="269"/>
      <c r="BS41" s="269"/>
      <c r="BT41" s="269"/>
      <c r="BU41" s="269"/>
      <c r="BV41" s="269"/>
      <c r="BW41" s="269"/>
      <c r="BX41" s="269"/>
      <c r="BY41" s="269"/>
      <c r="BZ41" s="269"/>
      <c r="CA41" s="269"/>
      <c r="CB41" s="269"/>
      <c r="CC41" s="269"/>
      <c r="CD41" s="269"/>
      <c r="CE41" s="269"/>
    </row>
    <row r="42" spans="1:83" s="97" customFormat="1" ht="18" hidden="1" outlineLevel="1" x14ac:dyDescent="0.3">
      <c r="A42" s="269"/>
      <c r="B42" s="98">
        <v>27</v>
      </c>
      <c r="C42" s="104" t="s">
        <v>210</v>
      </c>
      <c r="D42" s="412">
        <f t="shared" si="1"/>
        <v>95000</v>
      </c>
      <c r="E42" s="105"/>
      <c r="F42" s="101"/>
      <c r="G42" s="101"/>
      <c r="H42" s="101"/>
      <c r="I42" s="101"/>
      <c r="J42" s="101"/>
      <c r="K42" s="101"/>
      <c r="L42" s="101"/>
      <c r="M42" s="101"/>
      <c r="N42" s="244"/>
      <c r="O42" s="101"/>
      <c r="P42" s="221"/>
      <c r="Q42" s="101"/>
      <c r="R42" s="79"/>
      <c r="S42" s="79"/>
      <c r="T42" s="79"/>
      <c r="U42" s="79"/>
      <c r="V42" s="79"/>
      <c r="W42" s="79"/>
      <c r="X42" s="79"/>
      <c r="Y42" s="79"/>
      <c r="Z42" s="75"/>
      <c r="AA42" s="75"/>
      <c r="AB42" s="75"/>
      <c r="AC42" s="95"/>
      <c r="AD42" s="75"/>
      <c r="AE42" s="75"/>
      <c r="AF42" s="75"/>
      <c r="AG42" s="75"/>
      <c r="AH42" s="75"/>
      <c r="AI42" s="75"/>
      <c r="AJ42" s="75"/>
      <c r="AK42" s="79"/>
      <c r="AL42" s="79"/>
      <c r="AM42" s="79"/>
      <c r="AN42" s="75"/>
      <c r="AO42" s="75"/>
      <c r="AP42" s="75"/>
      <c r="AQ42" s="75"/>
      <c r="AR42" s="75"/>
      <c r="AS42" s="75"/>
      <c r="AT42" s="75"/>
      <c r="AU42" s="79"/>
      <c r="AV42" s="86"/>
      <c r="AW42" s="86"/>
      <c r="AX42" s="79"/>
      <c r="AY42" s="79"/>
      <c r="AZ42" s="86"/>
      <c r="BA42" s="86"/>
      <c r="BB42" s="79"/>
      <c r="BC42" s="79"/>
      <c r="BD42" s="86"/>
      <c r="BE42" s="86"/>
      <c r="BF42" s="79"/>
      <c r="BG42" s="79"/>
      <c r="BH42" s="79"/>
      <c r="BI42" s="86"/>
      <c r="BJ42" s="86"/>
      <c r="BK42" s="89"/>
      <c r="BL42" s="7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9"/>
      <c r="BY42" s="269"/>
      <c r="BZ42" s="269"/>
      <c r="CA42" s="269"/>
      <c r="CB42" s="269"/>
      <c r="CC42" s="269"/>
      <c r="CD42" s="269"/>
      <c r="CE42" s="269"/>
    </row>
    <row r="43" spans="1:83" s="97" customFormat="1" ht="18" hidden="1" outlineLevel="1" x14ac:dyDescent="0.3">
      <c r="A43" s="269"/>
      <c r="B43" s="98">
        <v>28</v>
      </c>
      <c r="C43" s="104" t="s">
        <v>211</v>
      </c>
      <c r="D43" s="412">
        <f t="shared" si="1"/>
        <v>100000</v>
      </c>
      <c r="E43" s="101"/>
      <c r="F43" s="101"/>
      <c r="G43" s="101"/>
      <c r="H43" s="101"/>
      <c r="I43" s="101"/>
      <c r="J43" s="101"/>
      <c r="K43" s="101"/>
      <c r="L43" s="101"/>
      <c r="M43" s="101"/>
      <c r="N43" s="244"/>
      <c r="O43" s="101"/>
      <c r="P43" s="221"/>
      <c r="Q43" s="101"/>
      <c r="R43" s="79"/>
      <c r="S43" s="79"/>
      <c r="T43" s="79"/>
      <c r="U43" s="79"/>
      <c r="V43" s="79"/>
      <c r="W43" s="79"/>
      <c r="X43" s="79"/>
      <c r="Y43" s="79"/>
      <c r="Z43" s="75"/>
      <c r="AA43" s="75"/>
      <c r="AB43" s="75"/>
      <c r="AC43" s="95"/>
      <c r="AD43" s="75"/>
      <c r="AE43" s="75"/>
      <c r="AF43" s="75"/>
      <c r="AG43" s="75"/>
      <c r="AH43" s="75"/>
      <c r="AI43" s="75"/>
      <c r="AJ43" s="75"/>
      <c r="AK43" s="79"/>
      <c r="AL43" s="79"/>
      <c r="AM43" s="79"/>
      <c r="AN43" s="75"/>
      <c r="AO43" s="75"/>
      <c r="AP43" s="75"/>
      <c r="AQ43" s="75"/>
      <c r="AR43" s="75"/>
      <c r="AS43" s="75"/>
      <c r="AT43" s="75"/>
      <c r="AU43" s="79"/>
      <c r="AV43" s="86"/>
      <c r="AW43" s="86"/>
      <c r="AX43" s="79"/>
      <c r="AY43" s="79"/>
      <c r="AZ43" s="86"/>
      <c r="BA43" s="86"/>
      <c r="BB43" s="79"/>
      <c r="BC43" s="79"/>
      <c r="BD43" s="86"/>
      <c r="BE43" s="86"/>
      <c r="BF43" s="79"/>
      <c r="BG43" s="79"/>
      <c r="BH43" s="79"/>
      <c r="BI43" s="86"/>
      <c r="BJ43" s="86"/>
      <c r="BK43" s="89"/>
      <c r="BL43" s="79"/>
      <c r="BM43" s="269"/>
      <c r="BN43" s="269"/>
      <c r="BO43" s="269"/>
      <c r="BP43" s="269"/>
      <c r="BQ43" s="269"/>
      <c r="BR43" s="269"/>
      <c r="BS43" s="269"/>
      <c r="BT43" s="269"/>
      <c r="BU43" s="269"/>
      <c r="BV43" s="269"/>
      <c r="BW43" s="269"/>
      <c r="BX43" s="269"/>
      <c r="BY43" s="269"/>
      <c r="BZ43" s="269"/>
      <c r="CA43" s="269"/>
      <c r="CB43" s="269"/>
      <c r="CC43" s="269"/>
      <c r="CD43" s="269"/>
      <c r="CE43" s="269"/>
    </row>
    <row r="44" spans="1:83" s="97" customFormat="1" ht="18" hidden="1" outlineLevel="1" x14ac:dyDescent="0.3">
      <c r="A44" s="269"/>
      <c r="B44" s="98">
        <v>29</v>
      </c>
      <c r="C44" s="104" t="s">
        <v>212</v>
      </c>
      <c r="D44" s="412">
        <f t="shared" si="1"/>
        <v>105000</v>
      </c>
      <c r="E44" s="101"/>
      <c r="F44" s="101"/>
      <c r="G44" s="101"/>
      <c r="H44" s="101"/>
      <c r="I44" s="101"/>
      <c r="J44" s="101"/>
      <c r="K44" s="101"/>
      <c r="L44" s="101"/>
      <c r="M44" s="101"/>
      <c r="N44" s="244"/>
      <c r="O44" s="101"/>
      <c r="P44" s="221"/>
      <c r="Q44" s="101"/>
      <c r="R44" s="79"/>
      <c r="S44" s="79"/>
      <c r="T44" s="79"/>
      <c r="U44" s="79"/>
      <c r="V44" s="79"/>
      <c r="W44" s="79"/>
      <c r="X44" s="79"/>
      <c r="Y44" s="79"/>
      <c r="Z44" s="75"/>
      <c r="AA44" s="75"/>
      <c r="AB44" s="75"/>
      <c r="AC44" s="95"/>
      <c r="AD44" s="75"/>
      <c r="AE44" s="75"/>
      <c r="AF44" s="75"/>
      <c r="AG44" s="75"/>
      <c r="AH44" s="75"/>
      <c r="AI44" s="75"/>
      <c r="AJ44" s="75"/>
      <c r="AK44" s="79"/>
      <c r="AL44" s="79"/>
      <c r="AM44" s="79"/>
      <c r="AN44" s="75"/>
      <c r="AO44" s="75"/>
      <c r="AP44" s="75"/>
      <c r="AQ44" s="75"/>
      <c r="AR44" s="75"/>
      <c r="AS44" s="75"/>
      <c r="AT44" s="75"/>
      <c r="AU44" s="79"/>
      <c r="AV44" s="86"/>
      <c r="AW44" s="86"/>
      <c r="AX44" s="79"/>
      <c r="AY44" s="79"/>
      <c r="AZ44" s="86"/>
      <c r="BA44" s="86"/>
      <c r="BB44" s="79"/>
      <c r="BC44" s="79"/>
      <c r="BD44" s="86"/>
      <c r="BE44" s="86"/>
      <c r="BF44" s="79"/>
      <c r="BG44" s="79"/>
      <c r="BH44" s="79"/>
      <c r="BI44" s="86"/>
      <c r="BJ44" s="86"/>
      <c r="BK44" s="89"/>
      <c r="BL44" s="7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9"/>
      <c r="BY44" s="269"/>
      <c r="BZ44" s="269"/>
      <c r="CA44" s="269"/>
      <c r="CB44" s="269"/>
      <c r="CC44" s="269"/>
      <c r="CD44" s="269"/>
      <c r="CE44" s="269"/>
    </row>
    <row r="45" spans="1:83" s="97" customFormat="1" ht="18" hidden="1" outlineLevel="1" x14ac:dyDescent="0.3">
      <c r="A45" s="269"/>
      <c r="B45" s="98">
        <v>30</v>
      </c>
      <c r="C45" s="104" t="s">
        <v>213</v>
      </c>
      <c r="D45" s="412">
        <f t="shared" si="1"/>
        <v>110000</v>
      </c>
      <c r="E45" s="101"/>
      <c r="F45" s="101"/>
      <c r="G45" s="101"/>
      <c r="H45" s="101"/>
      <c r="I45" s="101"/>
      <c r="J45" s="101"/>
      <c r="K45" s="101"/>
      <c r="L45" s="101"/>
      <c r="M45" s="101"/>
      <c r="N45" s="244"/>
      <c r="O45" s="101"/>
      <c r="P45" s="221"/>
      <c r="Q45" s="101"/>
      <c r="R45" s="79"/>
      <c r="S45" s="79"/>
      <c r="T45" s="79"/>
      <c r="U45" s="79"/>
      <c r="V45" s="79"/>
      <c r="W45" s="79"/>
      <c r="X45" s="79"/>
      <c r="Y45" s="79"/>
      <c r="Z45" s="75"/>
      <c r="AA45" s="75"/>
      <c r="AB45" s="75"/>
      <c r="AC45" s="95"/>
      <c r="AD45" s="75"/>
      <c r="AE45" s="75"/>
      <c r="AF45" s="75"/>
      <c r="AG45" s="75"/>
      <c r="AH45" s="75"/>
      <c r="AI45" s="75"/>
      <c r="AJ45" s="75"/>
      <c r="AK45" s="79"/>
      <c r="AL45" s="79"/>
      <c r="AM45" s="79"/>
      <c r="AN45" s="75"/>
      <c r="AO45" s="75"/>
      <c r="AP45" s="75"/>
      <c r="AQ45" s="75"/>
      <c r="AR45" s="75"/>
      <c r="AS45" s="75"/>
      <c r="AT45" s="75"/>
      <c r="AU45" s="79"/>
      <c r="AV45" s="86"/>
      <c r="AW45" s="86"/>
      <c r="AX45" s="79"/>
      <c r="AY45" s="79"/>
      <c r="AZ45" s="86"/>
      <c r="BA45" s="86"/>
      <c r="BB45" s="79"/>
      <c r="BC45" s="79"/>
      <c r="BD45" s="86"/>
      <c r="BE45" s="86"/>
      <c r="BF45" s="79"/>
      <c r="BG45" s="79"/>
      <c r="BH45" s="79"/>
      <c r="BI45" s="86"/>
      <c r="BJ45" s="86"/>
      <c r="BK45" s="89"/>
      <c r="BL45" s="79"/>
      <c r="BM45" s="269"/>
      <c r="BN45" s="269"/>
      <c r="BO45" s="269"/>
      <c r="BP45" s="269"/>
      <c r="BQ45" s="269"/>
      <c r="BR45" s="269"/>
      <c r="BS45" s="269"/>
      <c r="BT45" s="269"/>
      <c r="BU45" s="269"/>
      <c r="BV45" s="269"/>
      <c r="BW45" s="269"/>
      <c r="BX45" s="269"/>
      <c r="BY45" s="269"/>
      <c r="BZ45" s="269"/>
      <c r="CA45" s="269"/>
      <c r="CB45" s="269"/>
      <c r="CC45" s="269"/>
      <c r="CD45" s="269"/>
      <c r="CE45" s="269"/>
    </row>
    <row r="46" spans="1:83" s="97" customFormat="1" ht="18" hidden="1" outlineLevel="1" x14ac:dyDescent="0.3">
      <c r="A46" s="269"/>
      <c r="B46" s="98">
        <v>31</v>
      </c>
      <c r="C46" s="104" t="s">
        <v>214</v>
      </c>
      <c r="D46" s="412">
        <f t="shared" si="1"/>
        <v>115000</v>
      </c>
      <c r="E46" s="101"/>
      <c r="F46" s="101"/>
      <c r="G46" s="101"/>
      <c r="H46" s="101"/>
      <c r="I46" s="101"/>
      <c r="J46" s="101"/>
      <c r="K46" s="101"/>
      <c r="L46" s="101"/>
      <c r="M46" s="101"/>
      <c r="N46" s="244"/>
      <c r="O46" s="101"/>
      <c r="P46" s="221"/>
      <c r="Q46" s="101"/>
      <c r="R46" s="79"/>
      <c r="S46" s="79"/>
      <c r="T46" s="79"/>
      <c r="U46" s="79"/>
      <c r="V46" s="79"/>
      <c r="W46" s="79"/>
      <c r="X46" s="79"/>
      <c r="Y46" s="79"/>
      <c r="Z46" s="75"/>
      <c r="AA46" s="75"/>
      <c r="AB46" s="75"/>
      <c r="AC46" s="95"/>
      <c r="AD46" s="75"/>
      <c r="AE46" s="75"/>
      <c r="AF46" s="75"/>
      <c r="AG46" s="75"/>
      <c r="AH46" s="75"/>
      <c r="AI46" s="75"/>
      <c r="AJ46" s="75"/>
      <c r="AK46" s="79"/>
      <c r="AL46" s="79"/>
      <c r="AM46" s="79"/>
      <c r="AN46" s="75"/>
      <c r="AO46" s="75"/>
      <c r="AP46" s="75"/>
      <c r="AQ46" s="75"/>
      <c r="AR46" s="75"/>
      <c r="AS46" s="75"/>
      <c r="AT46" s="75"/>
      <c r="AU46" s="79"/>
      <c r="AV46" s="86"/>
      <c r="AW46" s="86"/>
      <c r="AX46" s="79"/>
      <c r="AY46" s="79"/>
      <c r="AZ46" s="86"/>
      <c r="BA46" s="86"/>
      <c r="BB46" s="79"/>
      <c r="BC46" s="79"/>
      <c r="BD46" s="86"/>
      <c r="BE46" s="86"/>
      <c r="BF46" s="79"/>
      <c r="BG46" s="79"/>
      <c r="BH46" s="79"/>
      <c r="BI46" s="86"/>
      <c r="BJ46" s="86"/>
      <c r="BK46" s="89"/>
      <c r="BL46" s="7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  <c r="BY46" s="269"/>
      <c r="BZ46" s="269"/>
      <c r="CA46" s="269"/>
      <c r="CB46" s="269"/>
      <c r="CC46" s="269"/>
      <c r="CD46" s="269"/>
      <c r="CE46" s="269"/>
    </row>
    <row r="47" spans="1:83" s="97" customFormat="1" ht="18" hidden="1" outlineLevel="1" x14ac:dyDescent="0.3">
      <c r="A47" s="269"/>
      <c r="B47" s="98">
        <v>32</v>
      </c>
      <c r="C47" s="104" t="s">
        <v>215</v>
      </c>
      <c r="D47" s="412">
        <f t="shared" si="1"/>
        <v>120000</v>
      </c>
      <c r="E47" s="101"/>
      <c r="F47" s="101"/>
      <c r="G47" s="101"/>
      <c r="H47" s="101"/>
      <c r="I47" s="101"/>
      <c r="J47" s="101"/>
      <c r="K47" s="101"/>
      <c r="L47" s="101"/>
      <c r="M47" s="101"/>
      <c r="N47" s="244"/>
      <c r="O47" s="101"/>
      <c r="P47" s="221"/>
      <c r="Q47" s="101"/>
      <c r="R47" s="79"/>
      <c r="S47" s="79"/>
      <c r="T47" s="79"/>
      <c r="U47" s="79"/>
      <c r="V47" s="79"/>
      <c r="W47" s="79"/>
      <c r="X47" s="79"/>
      <c r="Y47" s="79"/>
      <c r="Z47" s="75"/>
      <c r="AA47" s="75"/>
      <c r="AB47" s="75"/>
      <c r="AC47" s="95"/>
      <c r="AD47" s="75"/>
      <c r="AE47" s="75"/>
      <c r="AF47" s="75"/>
      <c r="AG47" s="75"/>
      <c r="AH47" s="75"/>
      <c r="AI47" s="75"/>
      <c r="AJ47" s="75"/>
      <c r="AK47" s="79"/>
      <c r="AL47" s="79"/>
      <c r="AM47" s="79"/>
      <c r="AN47" s="75"/>
      <c r="AO47" s="75"/>
      <c r="AP47" s="75"/>
      <c r="AQ47" s="75"/>
      <c r="AR47" s="75"/>
      <c r="AS47" s="75"/>
      <c r="AT47" s="75"/>
      <c r="AU47" s="79"/>
      <c r="AV47" s="86"/>
      <c r="AW47" s="86"/>
      <c r="AX47" s="79"/>
      <c r="AY47" s="79"/>
      <c r="AZ47" s="86"/>
      <c r="BA47" s="86"/>
      <c r="BB47" s="79"/>
      <c r="BC47" s="79"/>
      <c r="BD47" s="86"/>
      <c r="BE47" s="86"/>
      <c r="BF47" s="79"/>
      <c r="BG47" s="79"/>
      <c r="BH47" s="79"/>
      <c r="BI47" s="86"/>
      <c r="BJ47" s="86"/>
      <c r="BK47" s="89"/>
      <c r="BL47" s="7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69"/>
      <c r="BX47" s="269"/>
      <c r="BY47" s="269"/>
      <c r="BZ47" s="269"/>
      <c r="CA47" s="269"/>
      <c r="CB47" s="269"/>
      <c r="CC47" s="269"/>
      <c r="CD47" s="269"/>
      <c r="CE47" s="269"/>
    </row>
    <row r="48" spans="1:83" s="97" customFormat="1" ht="18" hidden="1" outlineLevel="1" x14ac:dyDescent="0.3">
      <c r="A48" s="269"/>
      <c r="B48" s="98">
        <v>33</v>
      </c>
      <c r="C48" s="104" t="s">
        <v>216</v>
      </c>
      <c r="D48" s="412">
        <f t="shared" si="1"/>
        <v>125000</v>
      </c>
      <c r="E48" s="101"/>
      <c r="F48" s="101"/>
      <c r="G48" s="101"/>
      <c r="H48" s="101"/>
      <c r="I48" s="101"/>
      <c r="J48" s="101"/>
      <c r="K48" s="101"/>
      <c r="L48" s="101"/>
      <c r="M48" s="101"/>
      <c r="N48" s="244"/>
      <c r="O48" s="101"/>
      <c r="P48" s="221"/>
      <c r="Q48" s="101"/>
      <c r="R48" s="79"/>
      <c r="S48" s="79"/>
      <c r="T48" s="79"/>
      <c r="U48" s="79"/>
      <c r="V48" s="79"/>
      <c r="W48" s="79"/>
      <c r="X48" s="79"/>
      <c r="Y48" s="79"/>
      <c r="Z48" s="75"/>
      <c r="AA48" s="75"/>
      <c r="AB48" s="75"/>
      <c r="AC48" s="95"/>
      <c r="AD48" s="75"/>
      <c r="AE48" s="75"/>
      <c r="AF48" s="75"/>
      <c r="AG48" s="75"/>
      <c r="AH48" s="75"/>
      <c r="AI48" s="75"/>
      <c r="AJ48" s="75"/>
      <c r="AK48" s="79"/>
      <c r="AL48" s="79"/>
      <c r="AM48" s="79"/>
      <c r="AN48" s="75"/>
      <c r="AO48" s="75"/>
      <c r="AP48" s="75"/>
      <c r="AQ48" s="75"/>
      <c r="AR48" s="75"/>
      <c r="AS48" s="75"/>
      <c r="AT48" s="75"/>
      <c r="AU48" s="79"/>
      <c r="AV48" s="86"/>
      <c r="AW48" s="86"/>
      <c r="AX48" s="79"/>
      <c r="AY48" s="79"/>
      <c r="AZ48" s="86"/>
      <c r="BA48" s="86"/>
      <c r="BB48" s="79"/>
      <c r="BC48" s="79"/>
      <c r="BD48" s="86"/>
      <c r="BE48" s="86"/>
      <c r="BF48" s="79"/>
      <c r="BG48" s="79"/>
      <c r="BH48" s="79"/>
      <c r="BI48" s="86"/>
      <c r="BJ48" s="86"/>
      <c r="BK48" s="89"/>
      <c r="BL48" s="7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  <c r="BY48" s="269"/>
      <c r="BZ48" s="269"/>
      <c r="CA48" s="269"/>
      <c r="CB48" s="269"/>
      <c r="CC48" s="269"/>
      <c r="CD48" s="269"/>
      <c r="CE48" s="269"/>
    </row>
    <row r="49" spans="1:83" s="97" customFormat="1" ht="18" hidden="1" outlineLevel="1" x14ac:dyDescent="0.3">
      <c r="A49" s="269"/>
      <c r="B49" s="98">
        <v>34</v>
      </c>
      <c r="C49" s="104" t="s">
        <v>217</v>
      </c>
      <c r="D49" s="412">
        <f t="shared" si="1"/>
        <v>130000</v>
      </c>
      <c r="E49" s="101"/>
      <c r="F49" s="101"/>
      <c r="G49" s="101"/>
      <c r="H49" s="101"/>
      <c r="I49" s="101"/>
      <c r="J49" s="101"/>
      <c r="K49" s="101"/>
      <c r="L49" s="101"/>
      <c r="M49" s="101"/>
      <c r="N49" s="244"/>
      <c r="O49" s="101"/>
      <c r="P49" s="221"/>
      <c r="Q49" s="101"/>
      <c r="R49" s="79"/>
      <c r="S49" s="79"/>
      <c r="T49" s="79"/>
      <c r="U49" s="79"/>
      <c r="V49" s="79"/>
      <c r="W49" s="79"/>
      <c r="X49" s="79"/>
      <c r="Y49" s="79"/>
      <c r="Z49" s="75"/>
      <c r="AA49" s="75"/>
      <c r="AB49" s="75"/>
      <c r="AC49" s="95"/>
      <c r="AD49" s="75"/>
      <c r="AE49" s="75"/>
      <c r="AF49" s="75"/>
      <c r="AG49" s="75"/>
      <c r="AH49" s="75"/>
      <c r="AI49" s="75"/>
      <c r="AJ49" s="75"/>
      <c r="AK49" s="79"/>
      <c r="AL49" s="79"/>
      <c r="AM49" s="79"/>
      <c r="AN49" s="75"/>
      <c r="AO49" s="75"/>
      <c r="AP49" s="75"/>
      <c r="AQ49" s="75"/>
      <c r="AR49" s="75"/>
      <c r="AS49" s="75"/>
      <c r="AT49" s="75"/>
      <c r="AU49" s="79"/>
      <c r="AV49" s="86"/>
      <c r="AW49" s="86"/>
      <c r="AX49" s="79"/>
      <c r="AY49" s="79"/>
      <c r="AZ49" s="86"/>
      <c r="BA49" s="86"/>
      <c r="BB49" s="79"/>
      <c r="BC49" s="79"/>
      <c r="BD49" s="86"/>
      <c r="BE49" s="86"/>
      <c r="BF49" s="79"/>
      <c r="BG49" s="79"/>
      <c r="BH49" s="79"/>
      <c r="BI49" s="86"/>
      <c r="BJ49" s="86"/>
      <c r="BK49" s="89"/>
      <c r="BL49" s="79"/>
      <c r="BM49" s="269"/>
      <c r="BN49" s="269"/>
      <c r="BO49" s="269"/>
      <c r="BP49" s="269"/>
      <c r="BQ49" s="269"/>
      <c r="BR49" s="269"/>
      <c r="BS49" s="269"/>
      <c r="BT49" s="269"/>
      <c r="BU49" s="269"/>
      <c r="BV49" s="269"/>
      <c r="BW49" s="269"/>
      <c r="BX49" s="269"/>
      <c r="BY49" s="269"/>
      <c r="BZ49" s="269"/>
      <c r="CA49" s="269"/>
      <c r="CB49" s="269"/>
      <c r="CC49" s="269"/>
      <c r="CD49" s="269"/>
      <c r="CE49" s="269"/>
    </row>
    <row r="50" spans="1:83" s="97" customFormat="1" ht="18" hidden="1" outlineLevel="1" x14ac:dyDescent="0.3">
      <c r="A50" s="269"/>
      <c r="B50" s="98">
        <v>35</v>
      </c>
      <c r="C50" s="104" t="s">
        <v>205</v>
      </c>
      <c r="D50" s="412">
        <f t="shared" si="1"/>
        <v>135000</v>
      </c>
      <c r="E50" s="101"/>
      <c r="F50" s="101"/>
      <c r="G50" s="101"/>
      <c r="H50" s="101"/>
      <c r="I50" s="101"/>
      <c r="J50" s="101"/>
      <c r="K50" s="101"/>
      <c r="L50" s="101"/>
      <c r="M50" s="101"/>
      <c r="N50" s="244"/>
      <c r="O50" s="101"/>
      <c r="P50" s="221"/>
      <c r="Q50" s="101"/>
      <c r="R50" s="79"/>
      <c r="S50" s="79"/>
      <c r="T50" s="79"/>
      <c r="U50" s="79"/>
      <c r="V50" s="79"/>
      <c r="W50" s="79"/>
      <c r="X50" s="79"/>
      <c r="Y50" s="79"/>
      <c r="Z50" s="75"/>
      <c r="AA50" s="75"/>
      <c r="AB50" s="75"/>
      <c r="AC50" s="95"/>
      <c r="AD50" s="75"/>
      <c r="AE50" s="75"/>
      <c r="AF50" s="75"/>
      <c r="AG50" s="75"/>
      <c r="AH50" s="75"/>
      <c r="AI50" s="75"/>
      <c r="AJ50" s="75"/>
      <c r="AK50" s="79"/>
      <c r="AL50" s="79"/>
      <c r="AM50" s="79"/>
      <c r="AN50" s="75"/>
      <c r="AO50" s="75"/>
      <c r="AP50" s="75"/>
      <c r="AQ50" s="75"/>
      <c r="AR50" s="75"/>
      <c r="AS50" s="75"/>
      <c r="AT50" s="75"/>
      <c r="AU50" s="79"/>
      <c r="AV50" s="86"/>
      <c r="AW50" s="86"/>
      <c r="AX50" s="79"/>
      <c r="AY50" s="79"/>
      <c r="AZ50" s="86"/>
      <c r="BA50" s="86"/>
      <c r="BB50" s="79"/>
      <c r="BC50" s="79"/>
      <c r="BD50" s="86"/>
      <c r="BE50" s="86"/>
      <c r="BF50" s="79"/>
      <c r="BG50" s="79"/>
      <c r="BH50" s="79"/>
      <c r="BI50" s="86"/>
      <c r="BJ50" s="86"/>
      <c r="BK50" s="89"/>
      <c r="BL50" s="7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  <c r="BY50" s="269"/>
      <c r="BZ50" s="269"/>
      <c r="CA50" s="269"/>
      <c r="CB50" s="269"/>
      <c r="CC50" s="269"/>
      <c r="CD50" s="269"/>
      <c r="CE50" s="269"/>
    </row>
    <row r="51" spans="1:83" s="97" customFormat="1" ht="18" hidden="1" outlineLevel="1" x14ac:dyDescent="0.3">
      <c r="A51" s="269"/>
      <c r="B51" s="98">
        <v>36</v>
      </c>
      <c r="C51" s="104" t="s">
        <v>218</v>
      </c>
      <c r="D51" s="412">
        <f t="shared" si="1"/>
        <v>140000</v>
      </c>
      <c r="E51" s="101"/>
      <c r="F51" s="101"/>
      <c r="G51" s="101"/>
      <c r="H51" s="101"/>
      <c r="I51" s="101"/>
      <c r="J51" s="101"/>
      <c r="K51" s="101"/>
      <c r="L51" s="101"/>
      <c r="M51" s="101"/>
      <c r="N51" s="244"/>
      <c r="O51" s="101"/>
      <c r="P51" s="221"/>
      <c r="Q51" s="101"/>
      <c r="R51" s="79"/>
      <c r="S51" s="79"/>
      <c r="T51" s="79"/>
      <c r="U51" s="79"/>
      <c r="V51" s="79"/>
      <c r="W51" s="79"/>
      <c r="X51" s="79"/>
      <c r="Y51" s="79"/>
      <c r="Z51" s="75"/>
      <c r="AA51" s="75"/>
      <c r="AB51" s="75"/>
      <c r="AC51" s="95"/>
      <c r="AD51" s="75"/>
      <c r="AE51" s="75"/>
      <c r="AF51" s="75"/>
      <c r="AG51" s="75"/>
      <c r="AH51" s="75"/>
      <c r="AI51" s="75"/>
      <c r="AJ51" s="75"/>
      <c r="AK51" s="79"/>
      <c r="AL51" s="79"/>
      <c r="AM51" s="79"/>
      <c r="AN51" s="75"/>
      <c r="AO51" s="75"/>
      <c r="AP51" s="75"/>
      <c r="AQ51" s="75"/>
      <c r="AR51" s="75"/>
      <c r="AS51" s="75"/>
      <c r="AT51" s="75"/>
      <c r="AU51" s="79"/>
      <c r="AV51" s="86"/>
      <c r="AW51" s="86"/>
      <c r="AX51" s="79"/>
      <c r="AY51" s="79"/>
      <c r="AZ51" s="86"/>
      <c r="BA51" s="86"/>
      <c r="BB51" s="79"/>
      <c r="BC51" s="79"/>
      <c r="BD51" s="86"/>
      <c r="BE51" s="86"/>
      <c r="BF51" s="79"/>
      <c r="BG51" s="79"/>
      <c r="BH51" s="79"/>
      <c r="BI51" s="86"/>
      <c r="BJ51" s="86"/>
      <c r="BK51" s="89"/>
      <c r="BL51" s="7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9"/>
      <c r="BY51" s="269"/>
      <c r="BZ51" s="269"/>
      <c r="CA51" s="269"/>
      <c r="CB51" s="269"/>
      <c r="CC51" s="269"/>
      <c r="CD51" s="269"/>
      <c r="CE51" s="269"/>
    </row>
    <row r="52" spans="1:83" s="97" customFormat="1" ht="18" hidden="1" outlineLevel="1" x14ac:dyDescent="0.3">
      <c r="A52" s="269"/>
      <c r="B52" s="98">
        <v>37</v>
      </c>
      <c r="C52" s="104" t="s">
        <v>219</v>
      </c>
      <c r="D52" s="412">
        <f t="shared" si="1"/>
        <v>145000</v>
      </c>
      <c r="E52" s="101"/>
      <c r="F52" s="101"/>
      <c r="G52" s="101"/>
      <c r="H52" s="101"/>
      <c r="I52" s="101"/>
      <c r="J52" s="101"/>
      <c r="K52" s="101"/>
      <c r="L52" s="101"/>
      <c r="M52" s="101"/>
      <c r="N52" s="244"/>
      <c r="O52" s="101"/>
      <c r="P52" s="221"/>
      <c r="Q52" s="101"/>
      <c r="R52" s="79"/>
      <c r="S52" s="79"/>
      <c r="T52" s="79"/>
      <c r="U52" s="79"/>
      <c r="V52" s="79"/>
      <c r="W52" s="79"/>
      <c r="X52" s="79"/>
      <c r="Y52" s="79"/>
      <c r="Z52" s="75"/>
      <c r="AA52" s="75"/>
      <c r="AB52" s="75"/>
      <c r="AC52" s="95"/>
      <c r="AD52" s="75"/>
      <c r="AE52" s="75"/>
      <c r="AF52" s="75"/>
      <c r="AG52" s="75"/>
      <c r="AH52" s="75"/>
      <c r="AI52" s="75"/>
      <c r="AJ52" s="75"/>
      <c r="AK52" s="79"/>
      <c r="AL52" s="79"/>
      <c r="AM52" s="79"/>
      <c r="AN52" s="75"/>
      <c r="AO52" s="75"/>
      <c r="AP52" s="75"/>
      <c r="AQ52" s="75"/>
      <c r="AR52" s="75"/>
      <c r="AS52" s="75"/>
      <c r="AT52" s="75"/>
      <c r="AU52" s="79"/>
      <c r="AV52" s="86"/>
      <c r="AW52" s="86"/>
      <c r="AX52" s="79"/>
      <c r="AY52" s="79"/>
      <c r="AZ52" s="86"/>
      <c r="BA52" s="86"/>
      <c r="BB52" s="79"/>
      <c r="BC52" s="79"/>
      <c r="BD52" s="86"/>
      <c r="BE52" s="86"/>
      <c r="BF52" s="79"/>
      <c r="BG52" s="79"/>
      <c r="BH52" s="79"/>
      <c r="BI52" s="86"/>
      <c r="BJ52" s="86"/>
      <c r="BK52" s="89"/>
      <c r="BL52" s="7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</row>
    <row r="53" spans="1:83" s="97" customFormat="1" ht="18" hidden="1" outlineLevel="1" x14ac:dyDescent="0.3">
      <c r="A53" s="269"/>
      <c r="B53" s="98">
        <v>38</v>
      </c>
      <c r="C53" s="104" t="s">
        <v>220</v>
      </c>
      <c r="D53" s="412">
        <f t="shared" si="1"/>
        <v>150000</v>
      </c>
      <c r="E53" s="101"/>
      <c r="F53" s="101"/>
      <c r="G53" s="101"/>
      <c r="H53" s="101"/>
      <c r="I53" s="101"/>
      <c r="J53" s="101"/>
      <c r="K53" s="101"/>
      <c r="L53" s="101"/>
      <c r="M53" s="101"/>
      <c r="N53" s="244"/>
      <c r="O53" s="101"/>
      <c r="P53" s="221"/>
      <c r="Q53" s="101"/>
      <c r="R53" s="79"/>
      <c r="S53" s="79"/>
      <c r="T53" s="79"/>
      <c r="U53" s="79"/>
      <c r="V53" s="79"/>
      <c r="W53" s="79"/>
      <c r="X53" s="79"/>
      <c r="Y53" s="79"/>
      <c r="Z53" s="75"/>
      <c r="AA53" s="75"/>
      <c r="AB53" s="75"/>
      <c r="AC53" s="95"/>
      <c r="AD53" s="75"/>
      <c r="AE53" s="75"/>
      <c r="AF53" s="75"/>
      <c r="AG53" s="75"/>
      <c r="AH53" s="75"/>
      <c r="AI53" s="75"/>
      <c r="AJ53" s="75"/>
      <c r="AK53" s="79"/>
      <c r="AL53" s="79"/>
      <c r="AM53" s="79"/>
      <c r="AN53" s="75"/>
      <c r="AO53" s="75"/>
      <c r="AP53" s="75"/>
      <c r="AQ53" s="75"/>
      <c r="AR53" s="75"/>
      <c r="AS53" s="75"/>
      <c r="AT53" s="75"/>
      <c r="AU53" s="79"/>
      <c r="AV53" s="86"/>
      <c r="AW53" s="86"/>
      <c r="AX53" s="79"/>
      <c r="AY53" s="79"/>
      <c r="AZ53" s="86"/>
      <c r="BA53" s="86"/>
      <c r="BB53" s="79"/>
      <c r="BC53" s="79"/>
      <c r="BD53" s="86"/>
      <c r="BE53" s="86"/>
      <c r="BF53" s="79"/>
      <c r="BG53" s="79"/>
      <c r="BH53" s="79"/>
      <c r="BI53" s="86"/>
      <c r="BJ53" s="86"/>
      <c r="BK53" s="89"/>
      <c r="BL53" s="79"/>
      <c r="BM53" s="269"/>
      <c r="BN53" s="269"/>
      <c r="BO53" s="269"/>
      <c r="BP53" s="269"/>
      <c r="BQ53" s="269"/>
      <c r="BR53" s="269"/>
      <c r="BS53" s="269"/>
      <c r="BT53" s="269"/>
      <c r="BU53" s="269"/>
      <c r="BV53" s="269"/>
      <c r="BW53" s="269"/>
      <c r="BX53" s="269"/>
      <c r="BY53" s="269"/>
      <c r="BZ53" s="269"/>
      <c r="CA53" s="269"/>
      <c r="CB53" s="269"/>
      <c r="CC53" s="269"/>
      <c r="CD53" s="269"/>
      <c r="CE53" s="269"/>
    </row>
    <row r="54" spans="1:83" s="424" customFormat="1" ht="18" hidden="1" outlineLevel="1" x14ac:dyDescent="0.3">
      <c r="A54" s="418"/>
      <c r="B54" s="98">
        <v>39</v>
      </c>
      <c r="C54" s="104" t="s">
        <v>221</v>
      </c>
      <c r="D54" s="412">
        <f t="shared" si="1"/>
        <v>155000</v>
      </c>
      <c r="E54" s="419"/>
      <c r="F54" s="419"/>
      <c r="G54" s="419"/>
      <c r="H54" s="419"/>
      <c r="I54" s="419"/>
      <c r="J54" s="419"/>
      <c r="K54" s="419"/>
      <c r="L54" s="419"/>
      <c r="M54" s="419"/>
      <c r="N54" s="420"/>
      <c r="O54" s="419"/>
      <c r="P54" s="421"/>
      <c r="Q54" s="419"/>
      <c r="R54" s="103"/>
      <c r="S54" s="103"/>
      <c r="T54" s="103"/>
      <c r="U54" s="103"/>
      <c r="V54" s="103"/>
      <c r="W54" s="103"/>
      <c r="X54" s="103"/>
      <c r="Y54" s="103"/>
      <c r="Z54" s="169"/>
      <c r="AA54" s="169"/>
      <c r="AB54" s="169"/>
      <c r="AC54" s="422"/>
      <c r="AD54" s="169"/>
      <c r="AE54" s="169"/>
      <c r="AF54" s="169"/>
      <c r="AG54" s="169"/>
      <c r="AH54" s="169"/>
      <c r="AI54" s="169"/>
      <c r="AJ54" s="169"/>
      <c r="AK54" s="103"/>
      <c r="AL54" s="103"/>
      <c r="AM54" s="103"/>
      <c r="AN54" s="169"/>
      <c r="AO54" s="169"/>
      <c r="AP54" s="169"/>
      <c r="AQ54" s="169"/>
      <c r="AR54" s="169"/>
      <c r="AS54" s="169"/>
      <c r="AT54" s="169"/>
      <c r="AU54" s="103"/>
      <c r="AV54" s="423"/>
      <c r="AW54" s="423"/>
      <c r="AX54" s="103"/>
      <c r="AY54" s="103"/>
      <c r="AZ54" s="423"/>
      <c r="BA54" s="423"/>
      <c r="BB54" s="103"/>
      <c r="BC54" s="103"/>
      <c r="BD54" s="423"/>
      <c r="BE54" s="423"/>
      <c r="BF54" s="103"/>
      <c r="BG54" s="103"/>
      <c r="BH54" s="103"/>
      <c r="BI54" s="423"/>
      <c r="BJ54" s="423"/>
      <c r="BK54" s="161"/>
      <c r="BL54" s="103"/>
      <c r="BM54" s="418"/>
      <c r="BN54" s="418"/>
      <c r="BO54" s="418"/>
      <c r="BP54" s="418"/>
      <c r="BQ54" s="418"/>
      <c r="BR54" s="418"/>
      <c r="BS54" s="418"/>
      <c r="BT54" s="418"/>
      <c r="BU54" s="418"/>
      <c r="BV54" s="418"/>
      <c r="BW54" s="418"/>
      <c r="BX54" s="418"/>
      <c r="BY54" s="418"/>
      <c r="BZ54" s="418"/>
      <c r="CA54" s="418"/>
      <c r="CB54" s="418"/>
      <c r="CC54" s="418"/>
      <c r="CD54" s="418"/>
      <c r="CE54" s="418"/>
    </row>
    <row r="55" spans="1:83" s="424" customFormat="1" ht="18" hidden="1" outlineLevel="1" x14ac:dyDescent="0.3">
      <c r="A55" s="418"/>
      <c r="B55" s="98">
        <v>40</v>
      </c>
      <c r="C55" s="104" t="s">
        <v>222</v>
      </c>
      <c r="D55" s="412">
        <f t="shared" si="1"/>
        <v>160000</v>
      </c>
      <c r="E55" s="419"/>
      <c r="F55" s="419"/>
      <c r="G55" s="419"/>
      <c r="H55" s="419"/>
      <c r="I55" s="419"/>
      <c r="J55" s="419"/>
      <c r="K55" s="419"/>
      <c r="L55" s="419"/>
      <c r="M55" s="419"/>
      <c r="N55" s="420"/>
      <c r="O55" s="419"/>
      <c r="P55" s="421"/>
      <c r="Q55" s="419"/>
      <c r="R55" s="103"/>
      <c r="S55" s="103"/>
      <c r="T55" s="103"/>
      <c r="U55" s="103"/>
      <c r="V55" s="103"/>
      <c r="W55" s="103"/>
      <c r="X55" s="103"/>
      <c r="Y55" s="103"/>
      <c r="Z55" s="169"/>
      <c r="AA55" s="169"/>
      <c r="AB55" s="169"/>
      <c r="AC55" s="422"/>
      <c r="AD55" s="169"/>
      <c r="AE55" s="169"/>
      <c r="AF55" s="169"/>
      <c r="AG55" s="169"/>
      <c r="AH55" s="169"/>
      <c r="AI55" s="169"/>
      <c r="AJ55" s="169"/>
      <c r="AK55" s="103"/>
      <c r="AL55" s="103"/>
      <c r="AM55" s="103"/>
      <c r="AN55" s="169"/>
      <c r="AO55" s="169"/>
      <c r="AP55" s="169"/>
      <c r="AQ55" s="169"/>
      <c r="AR55" s="169"/>
      <c r="AS55" s="169"/>
      <c r="AT55" s="169"/>
      <c r="AU55" s="103"/>
      <c r="AV55" s="423"/>
      <c r="AW55" s="423"/>
      <c r="AX55" s="103"/>
      <c r="AY55" s="103"/>
      <c r="AZ55" s="423"/>
      <c r="BA55" s="423"/>
      <c r="BB55" s="103"/>
      <c r="BC55" s="103"/>
      <c r="BD55" s="423"/>
      <c r="BE55" s="423"/>
      <c r="BF55" s="103"/>
      <c r="BG55" s="103"/>
      <c r="BH55" s="103"/>
      <c r="BI55" s="423"/>
      <c r="BJ55" s="423"/>
      <c r="BK55" s="161"/>
      <c r="BL55" s="103"/>
      <c r="BM55" s="418"/>
      <c r="BN55" s="418"/>
      <c r="BO55" s="418"/>
      <c r="BP55" s="418"/>
      <c r="BQ55" s="418"/>
      <c r="BR55" s="418"/>
      <c r="BS55" s="418"/>
      <c r="BT55" s="418"/>
      <c r="BU55" s="418"/>
      <c r="BV55" s="418"/>
      <c r="BW55" s="418"/>
      <c r="BX55" s="418"/>
      <c r="BY55" s="418"/>
      <c r="BZ55" s="418"/>
      <c r="CA55" s="418"/>
      <c r="CB55" s="418"/>
      <c r="CC55" s="418"/>
      <c r="CD55" s="418"/>
      <c r="CE55" s="418"/>
    </row>
    <row r="56" spans="1:83" s="424" customFormat="1" ht="18" hidden="1" outlineLevel="1" x14ac:dyDescent="0.3">
      <c r="A56" s="418"/>
      <c r="B56" s="98">
        <v>41</v>
      </c>
      <c r="C56" s="104" t="s">
        <v>223</v>
      </c>
      <c r="D56" s="412">
        <f t="shared" si="1"/>
        <v>165000</v>
      </c>
      <c r="E56" s="419"/>
      <c r="F56" s="419"/>
      <c r="G56" s="419"/>
      <c r="H56" s="419"/>
      <c r="I56" s="419"/>
      <c r="J56" s="419"/>
      <c r="K56" s="419"/>
      <c r="L56" s="419"/>
      <c r="M56" s="419"/>
      <c r="N56" s="420"/>
      <c r="O56" s="419"/>
      <c r="P56" s="421"/>
      <c r="Q56" s="419"/>
      <c r="R56" s="103"/>
      <c r="S56" s="103"/>
      <c r="T56" s="103"/>
      <c r="U56" s="103"/>
      <c r="V56" s="103"/>
      <c r="W56" s="103"/>
      <c r="X56" s="103"/>
      <c r="Y56" s="103"/>
      <c r="Z56" s="169"/>
      <c r="AA56" s="169"/>
      <c r="AB56" s="169"/>
      <c r="AC56" s="422"/>
      <c r="AD56" s="169"/>
      <c r="AE56" s="169"/>
      <c r="AF56" s="169"/>
      <c r="AG56" s="169"/>
      <c r="AH56" s="169"/>
      <c r="AI56" s="169"/>
      <c r="AJ56" s="169"/>
      <c r="AK56" s="103"/>
      <c r="AL56" s="103"/>
      <c r="AM56" s="103"/>
      <c r="AN56" s="169"/>
      <c r="AO56" s="169"/>
      <c r="AP56" s="169"/>
      <c r="AQ56" s="169"/>
      <c r="AR56" s="169"/>
      <c r="AS56" s="169"/>
      <c r="AT56" s="169"/>
      <c r="AU56" s="103"/>
      <c r="AV56" s="423"/>
      <c r="AW56" s="423"/>
      <c r="AX56" s="103"/>
      <c r="AY56" s="103"/>
      <c r="AZ56" s="423"/>
      <c r="BA56" s="423"/>
      <c r="BB56" s="103"/>
      <c r="BC56" s="103"/>
      <c r="BD56" s="423"/>
      <c r="BE56" s="423"/>
      <c r="BF56" s="103"/>
      <c r="BG56" s="103"/>
      <c r="BH56" s="103"/>
      <c r="BI56" s="423"/>
      <c r="BJ56" s="423"/>
      <c r="BK56" s="161"/>
      <c r="BL56" s="103"/>
      <c r="BM56" s="418"/>
      <c r="BN56" s="418"/>
      <c r="BO56" s="418"/>
      <c r="BP56" s="418"/>
      <c r="BQ56" s="418"/>
      <c r="BR56" s="418"/>
      <c r="BS56" s="418"/>
      <c r="BT56" s="418"/>
      <c r="BU56" s="418"/>
      <c r="BV56" s="418"/>
      <c r="BW56" s="418"/>
      <c r="BX56" s="418"/>
      <c r="BY56" s="418"/>
      <c r="BZ56" s="418"/>
      <c r="CA56" s="418"/>
      <c r="CB56" s="418"/>
      <c r="CC56" s="418"/>
      <c r="CD56" s="418"/>
      <c r="CE56" s="418"/>
    </row>
    <row r="57" spans="1:83" s="424" customFormat="1" ht="18" hidden="1" outlineLevel="1" x14ac:dyDescent="0.3">
      <c r="A57" s="418"/>
      <c r="B57" s="98">
        <v>42</v>
      </c>
      <c r="C57" s="104" t="s">
        <v>310</v>
      </c>
      <c r="D57" s="412">
        <f t="shared" si="1"/>
        <v>170000</v>
      </c>
      <c r="E57" s="419"/>
      <c r="F57" s="419"/>
      <c r="G57" s="419"/>
      <c r="H57" s="419"/>
      <c r="I57" s="419"/>
      <c r="J57" s="419"/>
      <c r="K57" s="419"/>
      <c r="L57" s="419"/>
      <c r="M57" s="419"/>
      <c r="N57" s="420"/>
      <c r="O57" s="419"/>
      <c r="P57" s="421"/>
      <c r="Q57" s="419"/>
      <c r="R57" s="103"/>
      <c r="S57" s="103"/>
      <c r="T57" s="103"/>
      <c r="U57" s="103"/>
      <c r="V57" s="103"/>
      <c r="W57" s="103"/>
      <c r="X57" s="103"/>
      <c r="Y57" s="103"/>
      <c r="Z57" s="169"/>
      <c r="AA57" s="169"/>
      <c r="AB57" s="169"/>
      <c r="AC57" s="422"/>
      <c r="AD57" s="169"/>
      <c r="AE57" s="169"/>
      <c r="AF57" s="169"/>
      <c r="AG57" s="169"/>
      <c r="AH57" s="169"/>
      <c r="AI57" s="169"/>
      <c r="AJ57" s="169"/>
      <c r="AK57" s="103"/>
      <c r="AL57" s="103"/>
      <c r="AM57" s="103"/>
      <c r="AN57" s="169"/>
      <c r="AO57" s="169"/>
      <c r="AP57" s="169"/>
      <c r="AQ57" s="169"/>
      <c r="AR57" s="169"/>
      <c r="AS57" s="169"/>
      <c r="AT57" s="169"/>
      <c r="AU57" s="103"/>
      <c r="AV57" s="423"/>
      <c r="AW57" s="423"/>
      <c r="AX57" s="103"/>
      <c r="AY57" s="103"/>
      <c r="AZ57" s="423"/>
      <c r="BA57" s="423"/>
      <c r="BB57" s="103"/>
      <c r="BC57" s="103"/>
      <c r="BD57" s="423"/>
      <c r="BE57" s="423"/>
      <c r="BF57" s="103"/>
      <c r="BG57" s="103"/>
      <c r="BH57" s="103"/>
      <c r="BI57" s="423"/>
      <c r="BJ57" s="423"/>
      <c r="BK57" s="161"/>
      <c r="BL57" s="103"/>
      <c r="BM57" s="418"/>
      <c r="BN57" s="418"/>
      <c r="BO57" s="418"/>
      <c r="BP57" s="418"/>
      <c r="BQ57" s="418"/>
      <c r="BR57" s="418"/>
      <c r="BS57" s="418"/>
      <c r="BT57" s="418"/>
      <c r="BU57" s="418"/>
      <c r="BV57" s="418"/>
      <c r="BW57" s="418"/>
      <c r="BX57" s="418"/>
      <c r="BY57" s="418"/>
      <c r="BZ57" s="418"/>
      <c r="CA57" s="418"/>
      <c r="CB57" s="418"/>
      <c r="CC57" s="418"/>
      <c r="CD57" s="418"/>
      <c r="CE57" s="418"/>
    </row>
    <row r="58" spans="1:83" s="424" customFormat="1" ht="18" hidden="1" outlineLevel="1" x14ac:dyDescent="0.3">
      <c r="A58" s="418"/>
      <c r="B58" s="98">
        <v>43</v>
      </c>
      <c r="C58" s="104" t="s">
        <v>311</v>
      </c>
      <c r="D58" s="412">
        <f t="shared" si="1"/>
        <v>175000</v>
      </c>
      <c r="E58" s="419"/>
      <c r="F58" s="419"/>
      <c r="G58" s="419"/>
      <c r="H58" s="419"/>
      <c r="I58" s="419"/>
      <c r="J58" s="419"/>
      <c r="K58" s="419"/>
      <c r="L58" s="419"/>
      <c r="M58" s="419"/>
      <c r="N58" s="420"/>
      <c r="O58" s="419"/>
      <c r="P58" s="421"/>
      <c r="Q58" s="419"/>
      <c r="R58" s="103"/>
      <c r="S58" s="103"/>
      <c r="T58" s="103"/>
      <c r="U58" s="103"/>
      <c r="V58" s="103"/>
      <c r="W58" s="103"/>
      <c r="X58" s="103"/>
      <c r="Y58" s="103"/>
      <c r="Z58" s="169"/>
      <c r="AA58" s="169"/>
      <c r="AB58" s="169"/>
      <c r="AC58" s="422"/>
      <c r="AD58" s="169"/>
      <c r="AE58" s="169"/>
      <c r="AF58" s="169"/>
      <c r="AG58" s="169"/>
      <c r="AH58" s="169"/>
      <c r="AI58" s="169"/>
      <c r="AJ58" s="169"/>
      <c r="AK58" s="103"/>
      <c r="AL58" s="103"/>
      <c r="AM58" s="103"/>
      <c r="AN58" s="169"/>
      <c r="AO58" s="169"/>
      <c r="AP58" s="169"/>
      <c r="AQ58" s="169"/>
      <c r="AR58" s="169"/>
      <c r="AS58" s="169"/>
      <c r="AT58" s="169"/>
      <c r="AU58" s="103"/>
      <c r="AV58" s="423"/>
      <c r="AW58" s="423"/>
      <c r="AX58" s="103"/>
      <c r="AY58" s="103"/>
      <c r="AZ58" s="423"/>
      <c r="BA58" s="423"/>
      <c r="BB58" s="103"/>
      <c r="BC58" s="103"/>
      <c r="BD58" s="423"/>
      <c r="BE58" s="423"/>
      <c r="BF58" s="103"/>
      <c r="BG58" s="103"/>
      <c r="BH58" s="103"/>
      <c r="BI58" s="423"/>
      <c r="BJ58" s="423"/>
      <c r="BK58" s="161"/>
      <c r="BL58" s="103"/>
      <c r="BM58" s="418"/>
      <c r="BN58" s="418"/>
      <c r="BO58" s="418"/>
      <c r="BP58" s="418"/>
      <c r="BQ58" s="418"/>
      <c r="BR58" s="418"/>
      <c r="BS58" s="418"/>
      <c r="BT58" s="418"/>
      <c r="BU58" s="418"/>
      <c r="BV58" s="418"/>
      <c r="BW58" s="418"/>
      <c r="BX58" s="418"/>
      <c r="BY58" s="418"/>
      <c r="BZ58" s="418"/>
      <c r="CA58" s="418"/>
      <c r="CB58" s="418"/>
      <c r="CC58" s="418"/>
      <c r="CD58" s="418"/>
      <c r="CE58" s="418"/>
    </row>
    <row r="59" spans="1:83" s="424" customFormat="1" ht="18" hidden="1" outlineLevel="1" x14ac:dyDescent="0.3">
      <c r="A59" s="418"/>
      <c r="B59" s="98">
        <v>44</v>
      </c>
      <c r="C59" s="104" t="s">
        <v>312</v>
      </c>
      <c r="D59" s="412">
        <f t="shared" si="1"/>
        <v>180000</v>
      </c>
      <c r="E59" s="419"/>
      <c r="F59" s="419"/>
      <c r="G59" s="419"/>
      <c r="H59" s="419"/>
      <c r="I59" s="419"/>
      <c r="J59" s="419"/>
      <c r="K59" s="419"/>
      <c r="L59" s="419"/>
      <c r="M59" s="419"/>
      <c r="N59" s="420"/>
      <c r="O59" s="419"/>
      <c r="P59" s="421"/>
      <c r="Q59" s="419"/>
      <c r="R59" s="103"/>
      <c r="S59" s="103"/>
      <c r="T59" s="103"/>
      <c r="U59" s="103"/>
      <c r="V59" s="103"/>
      <c r="W59" s="103"/>
      <c r="X59" s="103"/>
      <c r="Y59" s="103"/>
      <c r="Z59" s="169"/>
      <c r="AA59" s="169"/>
      <c r="AB59" s="169"/>
      <c r="AC59" s="422"/>
      <c r="AD59" s="169"/>
      <c r="AE59" s="169"/>
      <c r="AF59" s="169"/>
      <c r="AG59" s="169"/>
      <c r="AH59" s="169"/>
      <c r="AI59" s="169"/>
      <c r="AJ59" s="169"/>
      <c r="AK59" s="103"/>
      <c r="AL59" s="103"/>
      <c r="AM59" s="103"/>
      <c r="AN59" s="169"/>
      <c r="AO59" s="169"/>
      <c r="AP59" s="169"/>
      <c r="AQ59" s="169"/>
      <c r="AR59" s="169"/>
      <c r="AS59" s="169"/>
      <c r="AT59" s="169"/>
      <c r="AU59" s="103"/>
      <c r="AV59" s="423"/>
      <c r="AW59" s="423"/>
      <c r="AX59" s="103"/>
      <c r="AY59" s="103"/>
      <c r="AZ59" s="423"/>
      <c r="BA59" s="423"/>
      <c r="BB59" s="103"/>
      <c r="BC59" s="103"/>
      <c r="BD59" s="423"/>
      <c r="BE59" s="423"/>
      <c r="BF59" s="103"/>
      <c r="BG59" s="103"/>
      <c r="BH59" s="103"/>
      <c r="BI59" s="423"/>
      <c r="BJ59" s="423"/>
      <c r="BK59" s="161"/>
      <c r="BL59" s="103"/>
      <c r="BM59" s="418"/>
      <c r="BN59" s="418"/>
      <c r="BO59" s="418"/>
      <c r="BP59" s="418"/>
      <c r="BQ59" s="418"/>
      <c r="BR59" s="418"/>
      <c r="BS59" s="418"/>
      <c r="BT59" s="418"/>
      <c r="BU59" s="418"/>
      <c r="BV59" s="418"/>
      <c r="BW59" s="418"/>
      <c r="BX59" s="418"/>
      <c r="BY59" s="418"/>
      <c r="BZ59" s="418"/>
      <c r="CA59" s="418"/>
      <c r="CB59" s="418"/>
      <c r="CC59" s="418"/>
      <c r="CD59" s="418"/>
      <c r="CE59" s="418"/>
    </row>
    <row r="60" spans="1:83" s="424" customFormat="1" ht="18" hidden="1" outlineLevel="1" x14ac:dyDescent="0.3">
      <c r="A60" s="418"/>
      <c r="B60" s="98">
        <v>45</v>
      </c>
      <c r="C60" s="104" t="s">
        <v>313</v>
      </c>
      <c r="D60" s="412">
        <f t="shared" si="1"/>
        <v>185000</v>
      </c>
      <c r="E60" s="419"/>
      <c r="F60" s="419"/>
      <c r="G60" s="419"/>
      <c r="H60" s="419"/>
      <c r="I60" s="419"/>
      <c r="J60" s="419"/>
      <c r="K60" s="419"/>
      <c r="L60" s="419"/>
      <c r="M60" s="419"/>
      <c r="N60" s="420"/>
      <c r="O60" s="419"/>
      <c r="P60" s="421"/>
      <c r="Q60" s="419"/>
      <c r="R60" s="103"/>
      <c r="S60" s="103"/>
      <c r="T60" s="103"/>
      <c r="U60" s="103"/>
      <c r="V60" s="103"/>
      <c r="W60" s="103"/>
      <c r="X60" s="103"/>
      <c r="Y60" s="103"/>
      <c r="Z60" s="169"/>
      <c r="AA60" s="169"/>
      <c r="AB60" s="169"/>
      <c r="AC60" s="422"/>
      <c r="AD60" s="169"/>
      <c r="AE60" s="169"/>
      <c r="AF60" s="169"/>
      <c r="AG60" s="169"/>
      <c r="AH60" s="169"/>
      <c r="AI60" s="169"/>
      <c r="AJ60" s="169"/>
      <c r="AK60" s="103"/>
      <c r="AL60" s="103"/>
      <c r="AM60" s="103"/>
      <c r="AN60" s="169"/>
      <c r="AO60" s="169"/>
      <c r="AP60" s="169"/>
      <c r="AQ60" s="169"/>
      <c r="AR60" s="169"/>
      <c r="AS60" s="169"/>
      <c r="AT60" s="169"/>
      <c r="AU60" s="103"/>
      <c r="AV60" s="423"/>
      <c r="AW60" s="423"/>
      <c r="AX60" s="103"/>
      <c r="AY60" s="103"/>
      <c r="AZ60" s="423"/>
      <c r="BA60" s="423"/>
      <c r="BB60" s="103"/>
      <c r="BC60" s="103"/>
      <c r="BD60" s="423"/>
      <c r="BE60" s="423"/>
      <c r="BF60" s="103"/>
      <c r="BG60" s="103"/>
      <c r="BH60" s="103"/>
      <c r="BI60" s="423"/>
      <c r="BJ60" s="423"/>
      <c r="BK60" s="161"/>
      <c r="BL60" s="103"/>
      <c r="BM60" s="418"/>
      <c r="BN60" s="418"/>
      <c r="BO60" s="418"/>
      <c r="BP60" s="418"/>
      <c r="BQ60" s="418"/>
      <c r="BR60" s="418"/>
      <c r="BS60" s="418"/>
      <c r="BT60" s="418"/>
      <c r="BU60" s="418"/>
      <c r="BV60" s="418"/>
      <c r="BW60" s="418"/>
      <c r="BX60" s="418"/>
      <c r="BY60" s="418"/>
      <c r="BZ60" s="418"/>
      <c r="CA60" s="418"/>
      <c r="CB60" s="418"/>
      <c r="CC60" s="418"/>
      <c r="CD60" s="418"/>
      <c r="CE60" s="418"/>
    </row>
    <row r="61" spans="1:83" s="424" customFormat="1" ht="18" hidden="1" outlineLevel="1" x14ac:dyDescent="0.3">
      <c r="A61" s="418"/>
      <c r="B61" s="98">
        <v>46</v>
      </c>
      <c r="C61" s="104" t="s">
        <v>314</v>
      </c>
      <c r="D61" s="412">
        <f t="shared" si="1"/>
        <v>190000</v>
      </c>
      <c r="E61" s="419"/>
      <c r="F61" s="419"/>
      <c r="G61" s="419"/>
      <c r="H61" s="419"/>
      <c r="I61" s="419"/>
      <c r="J61" s="419"/>
      <c r="K61" s="419"/>
      <c r="L61" s="419"/>
      <c r="M61" s="419"/>
      <c r="N61" s="420"/>
      <c r="O61" s="419"/>
      <c r="P61" s="421"/>
      <c r="Q61" s="419"/>
      <c r="R61" s="103"/>
      <c r="S61" s="103"/>
      <c r="T61" s="103"/>
      <c r="U61" s="103"/>
      <c r="V61" s="103"/>
      <c r="W61" s="103"/>
      <c r="X61" s="103"/>
      <c r="Y61" s="103"/>
      <c r="Z61" s="169"/>
      <c r="AA61" s="169"/>
      <c r="AB61" s="169"/>
      <c r="AC61" s="422"/>
      <c r="AD61" s="169"/>
      <c r="AE61" s="169"/>
      <c r="AF61" s="169"/>
      <c r="AG61" s="169"/>
      <c r="AH61" s="169"/>
      <c r="AI61" s="169"/>
      <c r="AJ61" s="169"/>
      <c r="AK61" s="103"/>
      <c r="AL61" s="103"/>
      <c r="AM61" s="103"/>
      <c r="AN61" s="169"/>
      <c r="AO61" s="169"/>
      <c r="AP61" s="169"/>
      <c r="AQ61" s="169"/>
      <c r="AR61" s="169"/>
      <c r="AS61" s="169"/>
      <c r="AT61" s="169"/>
      <c r="AU61" s="103"/>
      <c r="AV61" s="423"/>
      <c r="AW61" s="423"/>
      <c r="AX61" s="103"/>
      <c r="AY61" s="103"/>
      <c r="AZ61" s="423"/>
      <c r="BA61" s="423"/>
      <c r="BB61" s="103"/>
      <c r="BC61" s="103"/>
      <c r="BD61" s="423"/>
      <c r="BE61" s="423"/>
      <c r="BF61" s="103"/>
      <c r="BG61" s="103"/>
      <c r="BH61" s="103"/>
      <c r="BI61" s="423"/>
      <c r="BJ61" s="423"/>
      <c r="BK61" s="161"/>
      <c r="BL61" s="103"/>
      <c r="BM61" s="418"/>
      <c r="BN61" s="418"/>
      <c r="BO61" s="418"/>
      <c r="BP61" s="418"/>
      <c r="BQ61" s="418"/>
      <c r="BR61" s="418"/>
      <c r="BS61" s="418"/>
      <c r="BT61" s="418"/>
      <c r="BU61" s="418"/>
      <c r="BV61" s="418"/>
      <c r="BW61" s="418"/>
      <c r="BX61" s="418"/>
      <c r="BY61" s="418"/>
      <c r="BZ61" s="418"/>
      <c r="CA61" s="418"/>
      <c r="CB61" s="418"/>
      <c r="CC61" s="418"/>
      <c r="CD61" s="418"/>
      <c r="CE61" s="418"/>
    </row>
    <row r="62" spans="1:83" s="424" customFormat="1" ht="18" hidden="1" outlineLevel="1" x14ac:dyDescent="0.3">
      <c r="A62" s="418"/>
      <c r="B62" s="98">
        <v>47</v>
      </c>
      <c r="C62" s="104" t="s">
        <v>315</v>
      </c>
      <c r="D62" s="412">
        <f t="shared" si="1"/>
        <v>195000</v>
      </c>
      <c r="E62" s="419"/>
      <c r="F62" s="419"/>
      <c r="G62" s="419"/>
      <c r="H62" s="419"/>
      <c r="I62" s="419"/>
      <c r="J62" s="419"/>
      <c r="K62" s="419"/>
      <c r="L62" s="419"/>
      <c r="M62" s="419"/>
      <c r="N62" s="420"/>
      <c r="O62" s="419"/>
      <c r="P62" s="421"/>
      <c r="Q62" s="419"/>
      <c r="R62" s="103"/>
      <c r="S62" s="103"/>
      <c r="T62" s="103"/>
      <c r="U62" s="103"/>
      <c r="V62" s="103"/>
      <c r="W62" s="103"/>
      <c r="X62" s="103"/>
      <c r="Y62" s="103"/>
      <c r="Z62" s="169"/>
      <c r="AA62" s="169"/>
      <c r="AB62" s="169"/>
      <c r="AC62" s="422"/>
      <c r="AD62" s="169"/>
      <c r="AE62" s="169"/>
      <c r="AF62" s="169"/>
      <c r="AG62" s="169"/>
      <c r="AH62" s="169"/>
      <c r="AI62" s="169"/>
      <c r="AJ62" s="169"/>
      <c r="AK62" s="103"/>
      <c r="AL62" s="103"/>
      <c r="AM62" s="103"/>
      <c r="AN62" s="169"/>
      <c r="AO62" s="169"/>
      <c r="AP62" s="169"/>
      <c r="AQ62" s="169"/>
      <c r="AR62" s="169"/>
      <c r="AS62" s="169"/>
      <c r="AT62" s="169"/>
      <c r="AU62" s="103"/>
      <c r="AV62" s="423"/>
      <c r="AW62" s="423"/>
      <c r="AX62" s="103"/>
      <c r="AY62" s="103"/>
      <c r="AZ62" s="423"/>
      <c r="BA62" s="423"/>
      <c r="BB62" s="103"/>
      <c r="BC62" s="103"/>
      <c r="BD62" s="423"/>
      <c r="BE62" s="423"/>
      <c r="BF62" s="103"/>
      <c r="BG62" s="103"/>
      <c r="BH62" s="103"/>
      <c r="BI62" s="423"/>
      <c r="BJ62" s="423"/>
      <c r="BK62" s="161"/>
      <c r="BL62" s="103"/>
      <c r="BM62" s="418"/>
      <c r="BN62" s="418"/>
      <c r="BO62" s="418"/>
      <c r="BP62" s="418"/>
      <c r="BQ62" s="418"/>
      <c r="BR62" s="418"/>
      <c r="BS62" s="418"/>
      <c r="BT62" s="418"/>
      <c r="BU62" s="418"/>
      <c r="BV62" s="418"/>
      <c r="BW62" s="418"/>
      <c r="BX62" s="418"/>
      <c r="BY62" s="418"/>
      <c r="BZ62" s="418"/>
      <c r="CA62" s="418"/>
      <c r="CB62" s="418"/>
      <c r="CC62" s="418"/>
      <c r="CD62" s="418"/>
      <c r="CE62" s="418"/>
    </row>
    <row r="63" spans="1:83" s="424" customFormat="1" ht="18" hidden="1" outlineLevel="1" x14ac:dyDescent="0.3">
      <c r="A63" s="418"/>
      <c r="B63" s="98">
        <v>48</v>
      </c>
      <c r="C63" s="104" t="s">
        <v>335</v>
      </c>
      <c r="D63" s="412">
        <f t="shared" si="1"/>
        <v>200000</v>
      </c>
      <c r="E63" s="419"/>
      <c r="F63" s="419"/>
      <c r="G63" s="419"/>
      <c r="H63" s="419"/>
      <c r="I63" s="419"/>
      <c r="J63" s="419"/>
      <c r="K63" s="419"/>
      <c r="L63" s="419"/>
      <c r="M63" s="419"/>
      <c r="N63" s="420"/>
      <c r="O63" s="419"/>
      <c r="P63" s="421"/>
      <c r="Q63" s="419"/>
      <c r="R63" s="103"/>
      <c r="S63" s="103"/>
      <c r="T63" s="103"/>
      <c r="U63" s="103"/>
      <c r="V63" s="103"/>
      <c r="W63" s="103"/>
      <c r="X63" s="103"/>
      <c r="Y63" s="103"/>
      <c r="Z63" s="169"/>
      <c r="AA63" s="169"/>
      <c r="AB63" s="169"/>
      <c r="AC63" s="422"/>
      <c r="AD63" s="169"/>
      <c r="AE63" s="169"/>
      <c r="AF63" s="169"/>
      <c r="AG63" s="169"/>
      <c r="AH63" s="169"/>
      <c r="AI63" s="169"/>
      <c r="AJ63" s="169"/>
      <c r="AK63" s="103"/>
      <c r="AL63" s="103"/>
      <c r="AM63" s="103"/>
      <c r="AN63" s="169"/>
      <c r="AO63" s="169"/>
      <c r="AP63" s="169"/>
      <c r="AQ63" s="169"/>
      <c r="AR63" s="169"/>
      <c r="AS63" s="169"/>
      <c r="AT63" s="169"/>
      <c r="AU63" s="103"/>
      <c r="AV63" s="423"/>
      <c r="AW63" s="423"/>
      <c r="AX63" s="103"/>
      <c r="AY63" s="103"/>
      <c r="AZ63" s="423"/>
      <c r="BA63" s="423"/>
      <c r="BB63" s="103"/>
      <c r="BC63" s="103"/>
      <c r="BD63" s="423"/>
      <c r="BE63" s="423"/>
      <c r="BF63" s="103"/>
      <c r="BG63" s="103"/>
      <c r="BH63" s="103"/>
      <c r="BI63" s="423"/>
      <c r="BJ63" s="423"/>
      <c r="BK63" s="161"/>
      <c r="BL63" s="103"/>
      <c r="BM63" s="418"/>
      <c r="BN63" s="418"/>
      <c r="BO63" s="418"/>
      <c r="BP63" s="418"/>
      <c r="BQ63" s="418"/>
      <c r="BR63" s="418"/>
      <c r="BS63" s="418"/>
      <c r="BT63" s="418"/>
      <c r="BU63" s="418"/>
      <c r="BV63" s="418"/>
      <c r="BW63" s="418"/>
      <c r="BX63" s="418"/>
      <c r="BY63" s="418"/>
      <c r="BZ63" s="418"/>
      <c r="CA63" s="418"/>
      <c r="CB63" s="418"/>
      <c r="CC63" s="418"/>
      <c r="CD63" s="418"/>
      <c r="CE63" s="418"/>
    </row>
    <row r="64" spans="1:83" s="424" customFormat="1" ht="18" hidden="1" outlineLevel="1" x14ac:dyDescent="0.3">
      <c r="A64" s="418"/>
      <c r="B64" s="98">
        <v>49</v>
      </c>
      <c r="C64" s="104" t="s">
        <v>338</v>
      </c>
      <c r="D64" s="412">
        <f>D63+10000</f>
        <v>210000</v>
      </c>
      <c r="E64" s="419"/>
      <c r="F64" s="419"/>
      <c r="G64" s="419"/>
      <c r="H64" s="419"/>
      <c r="I64" s="419"/>
      <c r="J64" s="419"/>
      <c r="K64" s="419"/>
      <c r="L64" s="419"/>
      <c r="M64" s="419"/>
      <c r="N64" s="420"/>
      <c r="O64" s="419"/>
      <c r="P64" s="421"/>
      <c r="Q64" s="419"/>
      <c r="R64" s="103"/>
      <c r="S64" s="103"/>
      <c r="T64" s="103"/>
      <c r="U64" s="103"/>
      <c r="V64" s="103"/>
      <c r="W64" s="103"/>
      <c r="X64" s="103"/>
      <c r="Y64" s="103"/>
      <c r="Z64" s="169"/>
      <c r="AA64" s="169"/>
      <c r="AB64" s="169"/>
      <c r="AC64" s="422"/>
      <c r="AD64" s="169"/>
      <c r="AE64" s="169"/>
      <c r="AF64" s="169"/>
      <c r="AG64" s="169"/>
      <c r="AH64" s="169"/>
      <c r="AI64" s="169"/>
      <c r="AJ64" s="169"/>
      <c r="AK64" s="103"/>
      <c r="AL64" s="103"/>
      <c r="AM64" s="103"/>
      <c r="AN64" s="169"/>
      <c r="AO64" s="169"/>
      <c r="AP64" s="169"/>
      <c r="AQ64" s="169"/>
      <c r="AR64" s="169"/>
      <c r="AS64" s="169"/>
      <c r="AT64" s="169"/>
      <c r="AU64" s="103"/>
      <c r="AV64" s="423"/>
      <c r="AW64" s="423"/>
      <c r="AX64" s="103"/>
      <c r="AY64" s="103"/>
      <c r="AZ64" s="423"/>
      <c r="BA64" s="423"/>
      <c r="BB64" s="103"/>
      <c r="BC64" s="103"/>
      <c r="BD64" s="423"/>
      <c r="BE64" s="423"/>
      <c r="BF64" s="103"/>
      <c r="BG64" s="103"/>
      <c r="BH64" s="103"/>
      <c r="BI64" s="423"/>
      <c r="BJ64" s="423"/>
      <c r="BK64" s="161"/>
      <c r="BL64" s="103"/>
      <c r="BM64" s="418"/>
      <c r="BN64" s="418"/>
      <c r="BO64" s="418"/>
      <c r="BP64" s="418"/>
      <c r="BQ64" s="418"/>
      <c r="BR64" s="418"/>
      <c r="BS64" s="418"/>
      <c r="BT64" s="418"/>
      <c r="BU64" s="418"/>
      <c r="BV64" s="418"/>
      <c r="BW64" s="418"/>
      <c r="BX64" s="418"/>
      <c r="BY64" s="418"/>
      <c r="BZ64" s="418"/>
      <c r="CA64" s="418"/>
      <c r="CB64" s="418"/>
      <c r="CC64" s="418"/>
      <c r="CD64" s="418"/>
      <c r="CE64" s="418"/>
    </row>
    <row r="65" spans="1:83" s="424" customFormat="1" ht="18" hidden="1" outlineLevel="1" x14ac:dyDescent="0.3">
      <c r="A65" s="418"/>
      <c r="B65" s="98">
        <v>50</v>
      </c>
      <c r="C65" s="104" t="s">
        <v>339</v>
      </c>
      <c r="D65" s="412">
        <f t="shared" ref="D65:D67" si="2">D64+10000</f>
        <v>220000</v>
      </c>
      <c r="E65" s="419"/>
      <c r="F65" s="419"/>
      <c r="G65" s="419"/>
      <c r="H65" s="419"/>
      <c r="I65" s="419"/>
      <c r="J65" s="419"/>
      <c r="K65" s="419"/>
      <c r="L65" s="419"/>
      <c r="M65" s="419"/>
      <c r="N65" s="420"/>
      <c r="O65" s="419"/>
      <c r="P65" s="421"/>
      <c r="Q65" s="419"/>
      <c r="R65" s="103"/>
      <c r="S65" s="103"/>
      <c r="T65" s="103"/>
      <c r="U65" s="103"/>
      <c r="V65" s="103"/>
      <c r="W65" s="103"/>
      <c r="X65" s="103"/>
      <c r="Y65" s="103"/>
      <c r="Z65" s="169"/>
      <c r="AA65" s="169"/>
      <c r="AB65" s="169"/>
      <c r="AC65" s="422"/>
      <c r="AD65" s="169"/>
      <c r="AE65" s="169"/>
      <c r="AF65" s="169"/>
      <c r="AG65" s="169"/>
      <c r="AH65" s="169"/>
      <c r="AI65" s="169"/>
      <c r="AJ65" s="169"/>
      <c r="AK65" s="103"/>
      <c r="AL65" s="103"/>
      <c r="AM65" s="103"/>
      <c r="AN65" s="169"/>
      <c r="AO65" s="169"/>
      <c r="AP65" s="169"/>
      <c r="AQ65" s="169"/>
      <c r="AR65" s="169"/>
      <c r="AS65" s="169"/>
      <c r="AT65" s="169"/>
      <c r="AU65" s="103"/>
      <c r="AV65" s="423"/>
      <c r="AW65" s="423"/>
      <c r="AX65" s="103"/>
      <c r="AY65" s="103"/>
      <c r="AZ65" s="423"/>
      <c r="BA65" s="423"/>
      <c r="BB65" s="103"/>
      <c r="BC65" s="103"/>
      <c r="BD65" s="423"/>
      <c r="BE65" s="423"/>
      <c r="BF65" s="103"/>
      <c r="BG65" s="103"/>
      <c r="BH65" s="103"/>
      <c r="BI65" s="423"/>
      <c r="BJ65" s="423"/>
      <c r="BK65" s="161"/>
      <c r="BL65" s="103"/>
      <c r="BM65" s="418"/>
      <c r="BN65" s="418"/>
      <c r="BO65" s="418"/>
      <c r="BP65" s="418"/>
      <c r="BQ65" s="418"/>
      <c r="BR65" s="418"/>
      <c r="BS65" s="418"/>
      <c r="BT65" s="418"/>
      <c r="BU65" s="418"/>
      <c r="BV65" s="418"/>
      <c r="BW65" s="418"/>
      <c r="BX65" s="418"/>
      <c r="BY65" s="418"/>
      <c r="BZ65" s="418"/>
      <c r="CA65" s="418"/>
      <c r="CB65" s="418"/>
      <c r="CC65" s="418"/>
      <c r="CD65" s="418"/>
      <c r="CE65" s="418"/>
    </row>
    <row r="66" spans="1:83" s="97" customFormat="1" ht="18" hidden="1" outlineLevel="1" x14ac:dyDescent="0.3">
      <c r="A66" s="269"/>
      <c r="B66" s="173">
        <v>51</v>
      </c>
      <c r="C66" s="43" t="s">
        <v>340</v>
      </c>
      <c r="D66" s="413">
        <f t="shared" si="2"/>
        <v>230000</v>
      </c>
      <c r="E66" s="101"/>
      <c r="F66" s="101"/>
      <c r="G66" s="101"/>
      <c r="H66" s="101"/>
      <c r="I66" s="101"/>
      <c r="J66" s="101"/>
      <c r="K66" s="101"/>
      <c r="L66" s="101"/>
      <c r="M66" s="101"/>
      <c r="N66" s="244"/>
      <c r="O66" s="101"/>
      <c r="P66" s="221"/>
      <c r="Q66" s="101"/>
      <c r="R66" s="79"/>
      <c r="S66" s="79"/>
      <c r="T66" s="79"/>
      <c r="U66" s="79"/>
      <c r="V66" s="79"/>
      <c r="W66" s="79"/>
      <c r="X66" s="79"/>
      <c r="Y66" s="79"/>
      <c r="Z66" s="75"/>
      <c r="AA66" s="75"/>
      <c r="AB66" s="75"/>
      <c r="AC66" s="95"/>
      <c r="AD66" s="75"/>
      <c r="AE66" s="75"/>
      <c r="AF66" s="75"/>
      <c r="AG66" s="75"/>
      <c r="AH66" s="75"/>
      <c r="AI66" s="75"/>
      <c r="AJ66" s="75"/>
      <c r="AK66" s="79"/>
      <c r="AL66" s="79"/>
      <c r="AM66" s="79"/>
      <c r="AN66" s="75"/>
      <c r="AO66" s="75"/>
      <c r="AP66" s="75"/>
      <c r="AQ66" s="75"/>
      <c r="AR66" s="75"/>
      <c r="AS66" s="75"/>
      <c r="AT66" s="75"/>
      <c r="AU66" s="79"/>
      <c r="AV66" s="86"/>
      <c r="AW66" s="86"/>
      <c r="AX66" s="79"/>
      <c r="AY66" s="79"/>
      <c r="AZ66" s="86"/>
      <c r="BA66" s="86"/>
      <c r="BB66" s="79"/>
      <c r="BC66" s="79"/>
      <c r="BD66" s="86"/>
      <c r="BE66" s="86"/>
      <c r="BF66" s="79"/>
      <c r="BG66" s="79"/>
      <c r="BH66" s="79"/>
      <c r="BI66" s="86"/>
      <c r="BJ66" s="86"/>
      <c r="BK66" s="89"/>
      <c r="BL66" s="7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</row>
    <row r="67" spans="1:83" s="97" customFormat="1" ht="18" hidden="1" outlineLevel="1" x14ac:dyDescent="0.3">
      <c r="A67" s="269"/>
      <c r="B67" s="173">
        <v>52</v>
      </c>
      <c r="C67" s="43"/>
      <c r="D67" s="413">
        <f t="shared" si="2"/>
        <v>240000</v>
      </c>
      <c r="E67" s="101"/>
      <c r="F67" s="101"/>
      <c r="G67" s="101"/>
      <c r="H67" s="101"/>
      <c r="I67" s="101"/>
      <c r="J67" s="101"/>
      <c r="K67" s="101"/>
      <c r="L67" s="101"/>
      <c r="M67" s="101"/>
      <c r="N67" s="244"/>
      <c r="O67" s="101"/>
      <c r="P67" s="221"/>
      <c r="Q67" s="101"/>
      <c r="R67" s="79"/>
      <c r="S67" s="79"/>
      <c r="T67" s="79"/>
      <c r="U67" s="79"/>
      <c r="V67" s="79"/>
      <c r="W67" s="79"/>
      <c r="X67" s="79"/>
      <c r="Y67" s="79"/>
      <c r="Z67" s="75"/>
      <c r="AA67" s="75"/>
      <c r="AB67" s="75"/>
      <c r="AC67" s="95"/>
      <c r="AD67" s="75"/>
      <c r="AE67" s="75"/>
      <c r="AF67" s="75"/>
      <c r="AG67" s="75"/>
      <c r="AH67" s="75"/>
      <c r="AI67" s="75"/>
      <c r="AJ67" s="75"/>
      <c r="AK67" s="79"/>
      <c r="AL67" s="79"/>
      <c r="AM67" s="79"/>
      <c r="AN67" s="75"/>
      <c r="AO67" s="75"/>
      <c r="AP67" s="75"/>
      <c r="AQ67" s="75"/>
      <c r="AR67" s="75"/>
      <c r="AS67" s="75"/>
      <c r="AT67" s="75"/>
      <c r="AU67" s="79"/>
      <c r="AV67" s="86"/>
      <c r="AW67" s="86"/>
      <c r="AX67" s="79"/>
      <c r="AY67" s="79"/>
      <c r="AZ67" s="86"/>
      <c r="BA67" s="86"/>
      <c r="BB67" s="79"/>
      <c r="BC67" s="79"/>
      <c r="BD67" s="86"/>
      <c r="BE67" s="86"/>
      <c r="BF67" s="79"/>
      <c r="BG67" s="79"/>
      <c r="BH67" s="79"/>
      <c r="BI67" s="86"/>
      <c r="BJ67" s="86"/>
      <c r="BK67" s="89"/>
      <c r="BL67" s="7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</row>
    <row r="68" spans="1:83" s="97" customFormat="1" ht="18" hidden="1" outlineLevel="1" x14ac:dyDescent="0.3">
      <c r="A68" s="269"/>
      <c r="B68" s="173">
        <v>53</v>
      </c>
      <c r="C68" s="43"/>
      <c r="D68" s="413">
        <f t="shared" ref="D68:D73" si="3">D67+10000</f>
        <v>250000</v>
      </c>
      <c r="E68" s="101"/>
      <c r="F68" s="101"/>
      <c r="G68" s="101"/>
      <c r="H68" s="101"/>
      <c r="I68" s="101"/>
      <c r="J68" s="101"/>
      <c r="K68" s="101"/>
      <c r="L68" s="101"/>
      <c r="M68" s="101"/>
      <c r="N68" s="244"/>
      <c r="O68" s="101"/>
      <c r="P68" s="221"/>
      <c r="Q68" s="101"/>
      <c r="R68" s="79"/>
      <c r="S68" s="79"/>
      <c r="T68" s="79"/>
      <c r="U68" s="79"/>
      <c r="V68" s="79"/>
      <c r="W68" s="79"/>
      <c r="X68" s="79"/>
      <c r="Y68" s="79"/>
      <c r="Z68" s="75"/>
      <c r="AA68" s="75"/>
      <c r="AB68" s="75"/>
      <c r="AC68" s="95"/>
      <c r="AD68" s="75"/>
      <c r="AE68" s="75"/>
      <c r="AF68" s="75"/>
      <c r="AG68" s="75"/>
      <c r="AH68" s="75"/>
      <c r="AI68" s="75"/>
      <c r="AJ68" s="75"/>
      <c r="AK68" s="79"/>
      <c r="AL68" s="79"/>
      <c r="AM68" s="79"/>
      <c r="AN68" s="75"/>
      <c r="AO68" s="75"/>
      <c r="AP68" s="75"/>
      <c r="AQ68" s="75"/>
      <c r="AR68" s="75"/>
      <c r="AS68" s="75"/>
      <c r="AT68" s="75"/>
      <c r="AU68" s="79"/>
      <c r="AV68" s="86"/>
      <c r="AW68" s="86"/>
      <c r="AX68" s="79"/>
      <c r="AY68" s="79"/>
      <c r="AZ68" s="86"/>
      <c r="BA68" s="86"/>
      <c r="BB68" s="79"/>
      <c r="BC68" s="79"/>
      <c r="BD68" s="86"/>
      <c r="BE68" s="86"/>
      <c r="BF68" s="79"/>
      <c r="BG68" s="79"/>
      <c r="BH68" s="79"/>
      <c r="BI68" s="86"/>
      <c r="BJ68" s="86"/>
      <c r="BK68" s="89"/>
      <c r="BL68" s="7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</row>
    <row r="69" spans="1:83" s="97" customFormat="1" ht="18" hidden="1" outlineLevel="1" x14ac:dyDescent="0.3">
      <c r="A69" s="269"/>
      <c r="B69" s="173">
        <v>54</v>
      </c>
      <c r="C69" s="43"/>
      <c r="D69" s="413">
        <f t="shared" si="3"/>
        <v>260000</v>
      </c>
      <c r="E69" s="101"/>
      <c r="F69" s="101"/>
      <c r="G69" s="101"/>
      <c r="H69" s="101"/>
      <c r="I69" s="101"/>
      <c r="J69" s="101"/>
      <c r="K69" s="101"/>
      <c r="L69" s="101"/>
      <c r="M69" s="101"/>
      <c r="N69" s="244"/>
      <c r="O69" s="101"/>
      <c r="P69" s="221"/>
      <c r="Q69" s="101"/>
      <c r="R69" s="79"/>
      <c r="S69" s="79"/>
      <c r="T69" s="79"/>
      <c r="U69" s="79"/>
      <c r="V69" s="79"/>
      <c r="W69" s="79"/>
      <c r="X69" s="79"/>
      <c r="Y69" s="79"/>
      <c r="Z69" s="75"/>
      <c r="AA69" s="75"/>
      <c r="AB69" s="75"/>
      <c r="AC69" s="95"/>
      <c r="AD69" s="75"/>
      <c r="AE69" s="75"/>
      <c r="AF69" s="75"/>
      <c r="AG69" s="75"/>
      <c r="AH69" s="75"/>
      <c r="AI69" s="75"/>
      <c r="AJ69" s="75"/>
      <c r="AK69" s="79"/>
      <c r="AL69" s="79"/>
      <c r="AM69" s="79"/>
      <c r="AN69" s="75"/>
      <c r="AO69" s="75"/>
      <c r="AP69" s="75"/>
      <c r="AQ69" s="75"/>
      <c r="AR69" s="75"/>
      <c r="AS69" s="75"/>
      <c r="AT69" s="75"/>
      <c r="AU69" s="79"/>
      <c r="AV69" s="86"/>
      <c r="AW69" s="86"/>
      <c r="AX69" s="79"/>
      <c r="AY69" s="79"/>
      <c r="AZ69" s="86"/>
      <c r="BA69" s="86"/>
      <c r="BB69" s="79"/>
      <c r="BC69" s="79"/>
      <c r="BD69" s="86"/>
      <c r="BE69" s="86"/>
      <c r="BF69" s="79"/>
      <c r="BG69" s="79"/>
      <c r="BH69" s="79"/>
      <c r="BI69" s="86"/>
      <c r="BJ69" s="86"/>
      <c r="BK69" s="89"/>
      <c r="BL69" s="7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9"/>
      <c r="BY69" s="269"/>
      <c r="BZ69" s="269"/>
      <c r="CA69" s="269"/>
      <c r="CB69" s="269"/>
      <c r="CC69" s="269"/>
      <c r="CD69" s="269"/>
      <c r="CE69" s="269"/>
    </row>
    <row r="70" spans="1:83" s="97" customFormat="1" ht="18" hidden="1" outlineLevel="1" x14ac:dyDescent="0.3">
      <c r="A70" s="269"/>
      <c r="B70" s="173">
        <v>55</v>
      </c>
      <c r="C70" s="43"/>
      <c r="D70" s="413">
        <f t="shared" si="3"/>
        <v>270000</v>
      </c>
      <c r="E70" s="101"/>
      <c r="F70" s="101"/>
      <c r="G70" s="101"/>
      <c r="H70" s="101"/>
      <c r="I70" s="101"/>
      <c r="J70" s="101"/>
      <c r="K70" s="101"/>
      <c r="L70" s="101"/>
      <c r="M70" s="101"/>
      <c r="N70" s="244"/>
      <c r="O70" s="101"/>
      <c r="P70" s="221"/>
      <c r="Q70" s="101"/>
      <c r="R70" s="79"/>
      <c r="S70" s="79"/>
      <c r="T70" s="79"/>
      <c r="U70" s="79"/>
      <c r="V70" s="79"/>
      <c r="W70" s="79"/>
      <c r="X70" s="79"/>
      <c r="Y70" s="79"/>
      <c r="Z70" s="75"/>
      <c r="AA70" s="75"/>
      <c r="AB70" s="75"/>
      <c r="AC70" s="95"/>
      <c r="AD70" s="75"/>
      <c r="AE70" s="75"/>
      <c r="AF70" s="75"/>
      <c r="AG70" s="75"/>
      <c r="AH70" s="75"/>
      <c r="AI70" s="75"/>
      <c r="AJ70" s="75"/>
      <c r="AK70" s="79"/>
      <c r="AL70" s="79"/>
      <c r="AM70" s="79"/>
      <c r="AN70" s="75"/>
      <c r="AO70" s="75"/>
      <c r="AP70" s="75"/>
      <c r="AQ70" s="75"/>
      <c r="AR70" s="75"/>
      <c r="AS70" s="75"/>
      <c r="AT70" s="75"/>
      <c r="AU70" s="79"/>
      <c r="AV70" s="86"/>
      <c r="AW70" s="86"/>
      <c r="AX70" s="79"/>
      <c r="AY70" s="79"/>
      <c r="AZ70" s="86"/>
      <c r="BA70" s="86"/>
      <c r="BB70" s="79"/>
      <c r="BC70" s="79"/>
      <c r="BD70" s="86"/>
      <c r="BE70" s="86"/>
      <c r="BF70" s="79"/>
      <c r="BG70" s="79"/>
      <c r="BH70" s="79"/>
      <c r="BI70" s="86"/>
      <c r="BJ70" s="86"/>
      <c r="BK70" s="89"/>
      <c r="BL70" s="7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  <c r="BY70" s="269"/>
      <c r="BZ70" s="269"/>
      <c r="CA70" s="269"/>
      <c r="CB70" s="269"/>
      <c r="CC70" s="269"/>
      <c r="CD70" s="269"/>
      <c r="CE70" s="269"/>
    </row>
    <row r="71" spans="1:83" s="97" customFormat="1" ht="18" hidden="1" outlineLevel="1" x14ac:dyDescent="0.3">
      <c r="A71" s="269"/>
      <c r="B71" s="173">
        <v>56</v>
      </c>
      <c r="C71" s="43"/>
      <c r="D71" s="413">
        <f t="shared" si="3"/>
        <v>280000</v>
      </c>
      <c r="E71" s="101"/>
      <c r="F71" s="101"/>
      <c r="G71" s="101"/>
      <c r="H71" s="101"/>
      <c r="I71" s="101"/>
      <c r="J71" s="101"/>
      <c r="K71" s="101"/>
      <c r="L71" s="101"/>
      <c r="M71" s="101"/>
      <c r="N71" s="244"/>
      <c r="O71" s="101"/>
      <c r="P71" s="221"/>
      <c r="Q71" s="101"/>
      <c r="R71" s="79"/>
      <c r="S71" s="79"/>
      <c r="T71" s="79"/>
      <c r="U71" s="79"/>
      <c r="V71" s="79"/>
      <c r="W71" s="79"/>
      <c r="X71" s="79"/>
      <c r="Y71" s="79"/>
      <c r="Z71" s="75"/>
      <c r="AA71" s="75"/>
      <c r="AB71" s="75"/>
      <c r="AC71" s="95"/>
      <c r="AD71" s="75"/>
      <c r="AE71" s="75"/>
      <c r="AF71" s="75"/>
      <c r="AG71" s="75"/>
      <c r="AH71" s="75"/>
      <c r="AI71" s="75"/>
      <c r="AJ71" s="75"/>
      <c r="AK71" s="79"/>
      <c r="AL71" s="79"/>
      <c r="AM71" s="79"/>
      <c r="AN71" s="75"/>
      <c r="AO71" s="75"/>
      <c r="AP71" s="75"/>
      <c r="AQ71" s="75"/>
      <c r="AR71" s="75"/>
      <c r="AS71" s="75"/>
      <c r="AT71" s="75"/>
      <c r="AU71" s="79"/>
      <c r="AV71" s="86"/>
      <c r="AW71" s="86"/>
      <c r="AX71" s="79"/>
      <c r="AY71" s="79"/>
      <c r="AZ71" s="86"/>
      <c r="BA71" s="86"/>
      <c r="BB71" s="79"/>
      <c r="BC71" s="79"/>
      <c r="BD71" s="86"/>
      <c r="BE71" s="86"/>
      <c r="BF71" s="79"/>
      <c r="BG71" s="79"/>
      <c r="BH71" s="79"/>
      <c r="BI71" s="86"/>
      <c r="BJ71" s="86"/>
      <c r="BK71" s="89"/>
      <c r="BL71" s="7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9"/>
      <c r="BY71" s="269"/>
      <c r="BZ71" s="269"/>
      <c r="CA71" s="269"/>
      <c r="CB71" s="269"/>
      <c r="CC71" s="269"/>
      <c r="CD71" s="269"/>
      <c r="CE71" s="269"/>
    </row>
    <row r="72" spans="1:83" s="97" customFormat="1" ht="18" hidden="1" outlineLevel="1" x14ac:dyDescent="0.3">
      <c r="A72" s="269"/>
      <c r="B72" s="173">
        <v>57</v>
      </c>
      <c r="C72" s="43"/>
      <c r="D72" s="413">
        <f t="shared" si="3"/>
        <v>290000</v>
      </c>
      <c r="E72" s="101"/>
      <c r="F72" s="101"/>
      <c r="G72" s="101"/>
      <c r="H72" s="101"/>
      <c r="I72" s="101"/>
      <c r="J72" s="101"/>
      <c r="K72" s="101"/>
      <c r="L72" s="101"/>
      <c r="M72" s="101"/>
      <c r="N72" s="244"/>
      <c r="O72" s="101"/>
      <c r="P72" s="221"/>
      <c r="Q72" s="101"/>
      <c r="R72" s="79"/>
      <c r="S72" s="79"/>
      <c r="T72" s="79"/>
      <c r="U72" s="79"/>
      <c r="V72" s="79"/>
      <c r="W72" s="79"/>
      <c r="X72" s="79"/>
      <c r="Y72" s="79"/>
      <c r="Z72" s="75"/>
      <c r="AA72" s="75"/>
      <c r="AB72" s="75"/>
      <c r="AC72" s="95"/>
      <c r="AD72" s="75"/>
      <c r="AE72" s="75"/>
      <c r="AF72" s="75"/>
      <c r="AG72" s="75"/>
      <c r="AH72" s="75"/>
      <c r="AI72" s="75"/>
      <c r="AJ72" s="75"/>
      <c r="AK72" s="79"/>
      <c r="AL72" s="79"/>
      <c r="AM72" s="79"/>
      <c r="AN72" s="75"/>
      <c r="AO72" s="75"/>
      <c r="AP72" s="75"/>
      <c r="AQ72" s="75"/>
      <c r="AR72" s="75"/>
      <c r="AS72" s="75"/>
      <c r="AT72" s="75"/>
      <c r="AU72" s="79"/>
      <c r="AV72" s="86"/>
      <c r="AW72" s="86"/>
      <c r="AX72" s="79"/>
      <c r="AY72" s="79"/>
      <c r="AZ72" s="86"/>
      <c r="BA72" s="86"/>
      <c r="BB72" s="79"/>
      <c r="BC72" s="79"/>
      <c r="BD72" s="86"/>
      <c r="BE72" s="86"/>
      <c r="BF72" s="79"/>
      <c r="BG72" s="79"/>
      <c r="BH72" s="79"/>
      <c r="BI72" s="86"/>
      <c r="BJ72" s="86"/>
      <c r="BK72" s="89"/>
      <c r="BL72" s="7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269"/>
    </row>
    <row r="73" spans="1:83" s="97" customFormat="1" ht="18" hidden="1" outlineLevel="1" x14ac:dyDescent="0.3">
      <c r="A73" s="269"/>
      <c r="B73" s="173">
        <v>58</v>
      </c>
      <c r="C73" s="43"/>
      <c r="D73" s="413">
        <f t="shared" si="3"/>
        <v>300000</v>
      </c>
      <c r="E73" s="101"/>
      <c r="F73" s="101"/>
      <c r="G73" s="101"/>
      <c r="H73" s="101"/>
      <c r="I73" s="101"/>
      <c r="J73" s="101"/>
      <c r="K73" s="101"/>
      <c r="L73" s="101"/>
      <c r="M73" s="101"/>
      <c r="N73" s="244"/>
      <c r="O73" s="101"/>
      <c r="P73" s="221"/>
      <c r="Q73" s="101"/>
      <c r="R73" s="79"/>
      <c r="S73" s="79"/>
      <c r="T73" s="79"/>
      <c r="U73" s="79"/>
      <c r="V73" s="79"/>
      <c r="W73" s="79"/>
      <c r="X73" s="79"/>
      <c r="Y73" s="79"/>
      <c r="Z73" s="75"/>
      <c r="AA73" s="75"/>
      <c r="AB73" s="75"/>
      <c r="AC73" s="95"/>
      <c r="AD73" s="75"/>
      <c r="AE73" s="75"/>
      <c r="AF73" s="75"/>
      <c r="AG73" s="75"/>
      <c r="AH73" s="75"/>
      <c r="AI73" s="75"/>
      <c r="AJ73" s="75"/>
      <c r="AK73" s="79"/>
      <c r="AL73" s="79"/>
      <c r="AM73" s="79"/>
      <c r="AN73" s="75"/>
      <c r="AO73" s="75"/>
      <c r="AP73" s="75"/>
      <c r="AQ73" s="75"/>
      <c r="AR73" s="75"/>
      <c r="AS73" s="75"/>
      <c r="AT73" s="75"/>
      <c r="AU73" s="79"/>
      <c r="AV73" s="86"/>
      <c r="AW73" s="86"/>
      <c r="AX73" s="79"/>
      <c r="AY73" s="79"/>
      <c r="AZ73" s="86"/>
      <c r="BA73" s="86"/>
      <c r="BB73" s="79"/>
      <c r="BC73" s="79"/>
      <c r="BD73" s="86"/>
      <c r="BE73" s="86"/>
      <c r="BF73" s="79"/>
      <c r="BG73" s="79"/>
      <c r="BH73" s="79"/>
      <c r="BI73" s="86"/>
      <c r="BJ73" s="86"/>
      <c r="BK73" s="89"/>
      <c r="BL73" s="7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  <c r="BY73" s="269"/>
      <c r="BZ73" s="269"/>
      <c r="CA73" s="269"/>
      <c r="CB73" s="269"/>
      <c r="CC73" s="269"/>
      <c r="CD73" s="269"/>
      <c r="CE73" s="269"/>
    </row>
    <row r="74" spans="1:83" s="112" customFormat="1" ht="18" collapsed="1" x14ac:dyDescent="0.25">
      <c r="A74" s="274"/>
      <c r="B74" s="349"/>
      <c r="C74" s="350" t="s">
        <v>296</v>
      </c>
      <c r="D74" s="400" t="s">
        <v>7</v>
      </c>
      <c r="E74" s="352"/>
      <c r="F74" s="352"/>
      <c r="G74" s="353"/>
      <c r="H74" s="353"/>
      <c r="I74" s="353"/>
      <c r="J74" s="353"/>
      <c r="K74" s="353"/>
      <c r="L74" s="354">
        <v>100</v>
      </c>
      <c r="M74" s="355">
        <v>100</v>
      </c>
      <c r="N74" s="356"/>
      <c r="O74" s="357" t="s">
        <v>276</v>
      </c>
      <c r="P74" s="220" t="s">
        <v>6</v>
      </c>
      <c r="Q74" s="79"/>
      <c r="R74" s="79"/>
      <c r="S74" s="79"/>
      <c r="T74" s="79"/>
      <c r="U74" s="79"/>
      <c r="V74" s="100"/>
      <c r="W74" s="100"/>
      <c r="X74" s="100"/>
      <c r="Y74" s="100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100"/>
      <c r="AL74" s="100"/>
      <c r="AM74" s="100"/>
      <c r="AN74" s="75"/>
      <c r="AO74" s="75"/>
      <c r="AP74" s="75"/>
      <c r="AQ74" s="75"/>
      <c r="AR74" s="75"/>
      <c r="AS74" s="75"/>
      <c r="AT74" s="75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11"/>
      <c r="BL74" s="100"/>
      <c r="BM74" s="274"/>
      <c r="BN74" s="274"/>
      <c r="BO74" s="274"/>
      <c r="BP74" s="274"/>
      <c r="BQ74" s="274"/>
      <c r="BR74" s="274"/>
      <c r="BS74" s="274"/>
      <c r="BT74" s="274"/>
      <c r="BU74" s="274"/>
      <c r="BV74" s="274"/>
      <c r="BW74" s="274"/>
      <c r="BX74" s="274"/>
      <c r="BY74" s="274"/>
      <c r="BZ74" s="274"/>
      <c r="CA74" s="274"/>
      <c r="CB74" s="274"/>
      <c r="CC74" s="274"/>
      <c r="CD74" s="274"/>
      <c r="CE74" s="274"/>
    </row>
    <row r="75" spans="1:83" s="112" customFormat="1" ht="18" collapsed="1" x14ac:dyDescent="0.25">
      <c r="A75" s="274"/>
      <c r="B75" s="237"/>
      <c r="C75" s="106" t="s">
        <v>278</v>
      </c>
      <c r="D75" s="107" t="s">
        <v>225</v>
      </c>
      <c r="E75" s="232"/>
      <c r="F75" s="232"/>
      <c r="G75" s="233" t="s">
        <v>6</v>
      </c>
      <c r="H75" s="233"/>
      <c r="I75" s="233" t="s">
        <v>6</v>
      </c>
      <c r="J75" s="233"/>
      <c r="K75" s="233" t="s">
        <v>6</v>
      </c>
      <c r="L75" s="108">
        <v>40</v>
      </c>
      <c r="M75" s="109">
        <v>39.950000000000003</v>
      </c>
      <c r="N75" s="245">
        <v>5</v>
      </c>
      <c r="O75" s="110"/>
      <c r="P75" s="220" t="s">
        <v>6</v>
      </c>
      <c r="Q75" s="79"/>
      <c r="R75" s="79"/>
      <c r="S75" s="79"/>
      <c r="T75" s="79"/>
      <c r="U75" s="79"/>
      <c r="V75" s="100"/>
      <c r="W75" s="100"/>
      <c r="X75" s="100"/>
      <c r="Y75" s="100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100"/>
      <c r="AL75" s="100"/>
      <c r="AM75" s="100"/>
      <c r="AN75" s="75"/>
      <c r="AO75" s="75"/>
      <c r="AP75" s="75"/>
      <c r="AQ75" s="75"/>
      <c r="AR75" s="75"/>
      <c r="AS75" s="75"/>
      <c r="AT75" s="75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11"/>
      <c r="BL75" s="100"/>
      <c r="BM75" s="274"/>
      <c r="BN75" s="274"/>
      <c r="BO75" s="274"/>
      <c r="BP75" s="274"/>
      <c r="BQ75" s="274"/>
      <c r="BR75" s="274"/>
      <c r="BS75" s="274"/>
      <c r="BT75" s="274"/>
      <c r="BU75" s="274"/>
      <c r="BV75" s="274"/>
      <c r="BW75" s="274"/>
      <c r="BX75" s="274"/>
      <c r="BY75" s="274"/>
      <c r="BZ75" s="274"/>
      <c r="CA75" s="274"/>
      <c r="CB75" s="274"/>
      <c r="CC75" s="274"/>
      <c r="CD75" s="274"/>
      <c r="CE75" s="274"/>
    </row>
    <row r="76" spans="1:83" ht="18" x14ac:dyDescent="0.25">
      <c r="B76" s="349"/>
      <c r="C76" s="350" t="s">
        <v>326</v>
      </c>
      <c r="D76" s="351" t="s">
        <v>225</v>
      </c>
      <c r="E76" s="393"/>
      <c r="F76" s="393"/>
      <c r="G76" s="393"/>
      <c r="H76" s="393" t="s">
        <v>6</v>
      </c>
      <c r="I76" s="393"/>
      <c r="J76" s="393" t="s">
        <v>6</v>
      </c>
      <c r="K76" s="393" t="s">
        <v>6</v>
      </c>
      <c r="L76" s="398">
        <v>70</v>
      </c>
      <c r="M76" s="395">
        <v>69.95</v>
      </c>
      <c r="N76" s="396">
        <v>5</v>
      </c>
      <c r="O76" s="426" t="s">
        <v>322</v>
      </c>
      <c r="P76" s="220" t="s">
        <v>6</v>
      </c>
      <c r="Q76" s="115"/>
      <c r="R76" s="79"/>
      <c r="S76" s="79"/>
      <c r="T76" s="79"/>
      <c r="U76" s="79"/>
      <c r="Z76" s="75"/>
      <c r="AA76" s="89"/>
      <c r="AB76" s="67"/>
      <c r="AC76" s="67"/>
      <c r="AD76" s="75"/>
      <c r="AE76" s="75"/>
      <c r="AF76" s="75"/>
      <c r="AG76" s="75"/>
      <c r="AH76" s="75"/>
      <c r="AI76" s="75"/>
      <c r="AJ76" s="75"/>
      <c r="AN76" s="75"/>
      <c r="AO76" s="75"/>
      <c r="AP76" s="75"/>
      <c r="AQ76" s="75"/>
      <c r="AR76" s="75"/>
      <c r="AS76" s="75"/>
      <c r="AT76" s="75"/>
      <c r="AV76" s="47"/>
      <c r="AW76" s="47"/>
      <c r="AZ76" s="47"/>
      <c r="BA76" s="47"/>
      <c r="BD76" s="47"/>
      <c r="BE76" s="47"/>
      <c r="BI76" s="47"/>
      <c r="BJ76" s="47"/>
    </row>
    <row r="77" spans="1:83" s="97" customFormat="1" ht="18" x14ac:dyDescent="0.25">
      <c r="A77" s="269"/>
      <c r="B77" s="349"/>
      <c r="C77" s="350" t="s">
        <v>323</v>
      </c>
      <c r="D77" s="351" t="s">
        <v>227</v>
      </c>
      <c r="E77" s="393"/>
      <c r="F77" s="393"/>
      <c r="G77" s="393"/>
      <c r="H77" s="393"/>
      <c r="I77" s="393" t="s">
        <v>6</v>
      </c>
      <c r="J77" s="393" t="s">
        <v>6</v>
      </c>
      <c r="K77" s="393" t="s">
        <v>6</v>
      </c>
      <c r="L77" s="394">
        <v>20</v>
      </c>
      <c r="M77" s="355">
        <v>29.95</v>
      </c>
      <c r="N77" s="396">
        <v>2</v>
      </c>
      <c r="O77" s="426" t="s">
        <v>328</v>
      </c>
      <c r="P77" s="220" t="s">
        <v>6</v>
      </c>
      <c r="Q77" s="115"/>
      <c r="R77" s="79"/>
      <c r="S77" s="79"/>
      <c r="T77" s="79"/>
      <c r="U77" s="79"/>
      <c r="V77" s="103"/>
      <c r="W77" s="79"/>
      <c r="X77" s="79"/>
      <c r="Y77" s="79"/>
      <c r="Z77" s="75"/>
      <c r="AA77" s="89"/>
      <c r="AB77" s="75"/>
      <c r="AC77" s="75"/>
      <c r="AD77" s="75"/>
      <c r="AE77" s="75"/>
      <c r="AF77" s="75"/>
      <c r="AG77" s="75"/>
      <c r="AH77" s="75"/>
      <c r="AI77" s="75"/>
      <c r="AJ77" s="75"/>
      <c r="AK77" s="79"/>
      <c r="AL77" s="79"/>
      <c r="AM77" s="79"/>
      <c r="AN77" s="75"/>
      <c r="AO77" s="75"/>
      <c r="AP77" s="75"/>
      <c r="AQ77" s="75"/>
      <c r="AR77" s="75"/>
      <c r="AS77" s="75"/>
      <c r="AT77" s="75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89"/>
      <c r="BL77" s="7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9"/>
      <c r="BY77" s="269"/>
      <c r="BZ77" s="269"/>
      <c r="CA77" s="269"/>
      <c r="CB77" s="269"/>
      <c r="CC77" s="269"/>
      <c r="CD77" s="269"/>
      <c r="CE77" s="269"/>
    </row>
    <row r="78" spans="1:83" ht="18" x14ac:dyDescent="0.25">
      <c r="B78" s="237"/>
      <c r="C78" s="106" t="s">
        <v>279</v>
      </c>
      <c r="D78" s="107" t="s">
        <v>226</v>
      </c>
      <c r="E78" s="233"/>
      <c r="F78" s="233"/>
      <c r="G78" s="233"/>
      <c r="H78" s="233"/>
      <c r="I78" s="233" t="s">
        <v>6</v>
      </c>
      <c r="J78" s="233" t="s">
        <v>6</v>
      </c>
      <c r="K78" s="233" t="s">
        <v>6</v>
      </c>
      <c r="L78" s="108">
        <v>13</v>
      </c>
      <c r="M78" s="113">
        <v>12.95</v>
      </c>
      <c r="N78" s="246">
        <v>5</v>
      </c>
      <c r="O78" s="114"/>
      <c r="P78" s="220" t="s">
        <v>6</v>
      </c>
      <c r="Q78" s="79"/>
      <c r="R78" s="79"/>
      <c r="S78" s="79"/>
      <c r="T78" s="79"/>
      <c r="U78" s="79"/>
      <c r="Z78" s="75"/>
      <c r="AA78" s="75"/>
      <c r="AB78" s="75"/>
      <c r="AC78" s="75"/>
      <c r="AE78" s="75"/>
      <c r="AF78" s="75"/>
      <c r="AG78" s="75"/>
      <c r="AH78" s="75"/>
      <c r="AI78" s="75"/>
      <c r="AK78" s="100"/>
      <c r="AV78" s="47"/>
      <c r="AW78" s="47"/>
      <c r="AZ78" s="47"/>
      <c r="BA78" s="47"/>
      <c r="BD78" s="47"/>
      <c r="BE78" s="47"/>
      <c r="BI78" s="47"/>
      <c r="BJ78" s="47"/>
    </row>
    <row r="79" spans="1:83" ht="18" x14ac:dyDescent="0.25">
      <c r="B79" s="237"/>
      <c r="C79" s="106" t="s">
        <v>280</v>
      </c>
      <c r="D79" s="107" t="s">
        <v>225</v>
      </c>
      <c r="E79" s="233"/>
      <c r="F79" s="233"/>
      <c r="G79" s="233"/>
      <c r="H79" s="233"/>
      <c r="I79" s="233" t="s">
        <v>6</v>
      </c>
      <c r="J79" s="233" t="s">
        <v>6</v>
      </c>
      <c r="K79" s="233" t="s">
        <v>6</v>
      </c>
      <c r="L79" s="108">
        <v>18</v>
      </c>
      <c r="M79" s="113">
        <v>17.95</v>
      </c>
      <c r="N79" s="246">
        <v>5</v>
      </c>
      <c r="O79" s="114"/>
      <c r="P79" s="220" t="s">
        <v>6</v>
      </c>
      <c r="Q79" s="79"/>
      <c r="R79" s="79"/>
      <c r="S79" s="79"/>
      <c r="T79" s="79"/>
      <c r="U79" s="79"/>
      <c r="Z79" s="75"/>
      <c r="AA79" s="75"/>
      <c r="AB79" s="75"/>
      <c r="AC79" s="75"/>
      <c r="AE79" s="75"/>
      <c r="AF79" s="75"/>
      <c r="AG79" s="75"/>
      <c r="AH79" s="75"/>
      <c r="AI79" s="75"/>
      <c r="AK79" s="100"/>
      <c r="AV79" s="47"/>
      <c r="AW79" s="47"/>
      <c r="AZ79" s="47"/>
      <c r="BA79" s="47"/>
      <c r="BD79" s="47"/>
      <c r="BE79" s="47"/>
      <c r="BI79" s="47"/>
      <c r="BJ79" s="47"/>
    </row>
    <row r="80" spans="1:83" s="112" customFormat="1" ht="18" x14ac:dyDescent="0.25">
      <c r="A80" s="274"/>
      <c r="B80" s="237"/>
      <c r="C80" s="106" t="s">
        <v>282</v>
      </c>
      <c r="D80" s="107" t="s">
        <v>226</v>
      </c>
      <c r="E80" s="233"/>
      <c r="F80" s="233"/>
      <c r="G80" s="233"/>
      <c r="H80" s="233"/>
      <c r="I80" s="233" t="s">
        <v>6</v>
      </c>
      <c r="J80" s="233" t="s">
        <v>6</v>
      </c>
      <c r="K80" s="233" t="s">
        <v>6</v>
      </c>
      <c r="L80" s="108">
        <v>14.95</v>
      </c>
      <c r="M80" s="109">
        <v>14.95</v>
      </c>
      <c r="N80" s="245">
        <v>5</v>
      </c>
      <c r="O80" s="110"/>
      <c r="P80" s="220" t="s">
        <v>6</v>
      </c>
      <c r="Q80" s="79"/>
      <c r="R80" s="79"/>
      <c r="S80" s="79"/>
      <c r="T80" s="79"/>
      <c r="U80" s="79"/>
      <c r="V80" s="102"/>
      <c r="W80" s="100"/>
      <c r="X80" s="100"/>
      <c r="Y80" s="79"/>
      <c r="Z80" s="75"/>
      <c r="AA80" s="115"/>
      <c r="AB80" s="75"/>
      <c r="AC80" s="75"/>
      <c r="AD80" s="75"/>
      <c r="AE80" s="75"/>
      <c r="AF80" s="75"/>
      <c r="AG80" s="75"/>
      <c r="AH80" s="75"/>
      <c r="AI80" s="75"/>
      <c r="AJ80" s="75"/>
      <c r="AK80" s="100"/>
      <c r="AL80" s="100"/>
      <c r="AM80" s="100"/>
      <c r="AN80" s="75"/>
      <c r="AO80" s="75"/>
      <c r="AP80" s="75"/>
      <c r="AQ80" s="75"/>
      <c r="AR80" s="75"/>
      <c r="AS80" s="75"/>
      <c r="AT80" s="75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11"/>
      <c r="BL80" s="100"/>
      <c r="BM80" s="274"/>
      <c r="BN80" s="274"/>
      <c r="BO80" s="274"/>
      <c r="BP80" s="274"/>
      <c r="BQ80" s="274"/>
      <c r="BR80" s="274"/>
      <c r="BS80" s="274"/>
      <c r="BT80" s="274"/>
      <c r="BU80" s="274"/>
      <c r="BV80" s="274"/>
      <c r="BW80" s="274"/>
      <c r="BX80" s="274"/>
      <c r="BY80" s="274"/>
      <c r="BZ80" s="274"/>
      <c r="CA80" s="274"/>
      <c r="CB80" s="274"/>
      <c r="CC80" s="274"/>
      <c r="CD80" s="274"/>
      <c r="CE80" s="274"/>
    </row>
    <row r="81" spans="1:83" s="112" customFormat="1" ht="18" x14ac:dyDescent="0.25">
      <c r="A81" s="274"/>
      <c r="B81" s="237"/>
      <c r="C81" s="106" t="s">
        <v>284</v>
      </c>
      <c r="D81" s="107" t="s">
        <v>238</v>
      </c>
      <c r="E81" s="233"/>
      <c r="F81" s="233"/>
      <c r="G81" s="233"/>
      <c r="H81" s="233"/>
      <c r="I81" s="233" t="s">
        <v>6</v>
      </c>
      <c r="J81" s="233" t="s">
        <v>6</v>
      </c>
      <c r="K81" s="233" t="s">
        <v>6</v>
      </c>
      <c r="L81" s="108">
        <v>15</v>
      </c>
      <c r="M81" s="113">
        <v>14.95</v>
      </c>
      <c r="N81" s="246">
        <v>2</v>
      </c>
      <c r="O81" s="114"/>
      <c r="P81" s="220" t="s">
        <v>6</v>
      </c>
      <c r="Q81" s="115"/>
      <c r="R81" s="79"/>
      <c r="S81" s="79"/>
      <c r="T81" s="79"/>
      <c r="U81" s="79"/>
      <c r="V81" s="100"/>
      <c r="W81" s="100"/>
      <c r="X81" s="100"/>
      <c r="Y81" s="79"/>
      <c r="Z81" s="75"/>
      <c r="AA81" s="89"/>
      <c r="AB81" s="75"/>
      <c r="AC81" s="75"/>
      <c r="AD81" s="75"/>
      <c r="AE81" s="75"/>
      <c r="AF81" s="75"/>
      <c r="AG81" s="75"/>
      <c r="AH81" s="75"/>
      <c r="AI81" s="75"/>
      <c r="AJ81" s="75"/>
      <c r="AK81" s="100"/>
      <c r="AL81" s="100"/>
      <c r="AM81" s="100"/>
      <c r="AN81" s="75"/>
      <c r="AO81" s="75"/>
      <c r="AP81" s="75"/>
      <c r="AQ81" s="75"/>
      <c r="AR81" s="75"/>
      <c r="AS81" s="75"/>
      <c r="AT81" s="75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11"/>
      <c r="BL81" s="100"/>
      <c r="BM81" s="274"/>
      <c r="BN81" s="274"/>
      <c r="BO81" s="274"/>
      <c r="BP81" s="274"/>
      <c r="BQ81" s="274"/>
      <c r="BR81" s="274"/>
      <c r="BS81" s="274"/>
      <c r="BT81" s="274"/>
      <c r="BU81" s="274"/>
      <c r="BV81" s="274"/>
      <c r="BW81" s="274"/>
      <c r="BX81" s="274"/>
      <c r="BY81" s="274"/>
      <c r="BZ81" s="274"/>
      <c r="CA81" s="274"/>
      <c r="CB81" s="274"/>
      <c r="CC81" s="274"/>
      <c r="CD81" s="274"/>
      <c r="CE81" s="274"/>
    </row>
    <row r="82" spans="1:83" s="112" customFormat="1" ht="18" x14ac:dyDescent="0.25">
      <c r="A82" s="274"/>
      <c r="B82" s="237"/>
      <c r="C82" s="106" t="s">
        <v>293</v>
      </c>
      <c r="D82" s="107" t="s">
        <v>239</v>
      </c>
      <c r="E82" s="233"/>
      <c r="F82" s="233"/>
      <c r="G82" s="233"/>
      <c r="H82" s="233"/>
      <c r="I82" s="233" t="s">
        <v>6</v>
      </c>
      <c r="J82" s="233" t="s">
        <v>6</v>
      </c>
      <c r="K82" s="233" t="s">
        <v>6</v>
      </c>
      <c r="L82" s="108">
        <v>15</v>
      </c>
      <c r="M82" s="113">
        <v>14.95</v>
      </c>
      <c r="N82" s="246">
        <v>5</v>
      </c>
      <c r="O82" s="114"/>
      <c r="P82" s="220" t="s">
        <v>6</v>
      </c>
      <c r="Q82" s="115"/>
      <c r="R82" s="79"/>
      <c r="S82" s="79"/>
      <c r="T82" s="79"/>
      <c r="U82" s="79"/>
      <c r="V82" s="100"/>
      <c r="W82" s="100"/>
      <c r="X82" s="100"/>
      <c r="Y82" s="79"/>
      <c r="Z82" s="75"/>
      <c r="AA82" s="89"/>
      <c r="AB82" s="75"/>
      <c r="AC82" s="75"/>
      <c r="AD82" s="75"/>
      <c r="AE82" s="75"/>
      <c r="AF82" s="75"/>
      <c r="AG82" s="75"/>
      <c r="AH82" s="75"/>
      <c r="AI82" s="75"/>
      <c r="AJ82" s="75"/>
      <c r="AK82" s="100"/>
      <c r="AL82" s="100"/>
      <c r="AM82" s="100"/>
      <c r="AN82" s="75"/>
      <c r="AO82" s="75"/>
      <c r="AP82" s="75"/>
      <c r="AQ82" s="75"/>
      <c r="AR82" s="75"/>
      <c r="AS82" s="75"/>
      <c r="AT82" s="75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11"/>
      <c r="BL82" s="100"/>
      <c r="BM82" s="274"/>
      <c r="BN82" s="274"/>
      <c r="BO82" s="274"/>
      <c r="BP82" s="274"/>
      <c r="BQ82" s="274"/>
      <c r="BR82" s="274"/>
      <c r="BS82" s="274"/>
      <c r="BT82" s="274"/>
      <c r="BU82" s="274"/>
      <c r="BV82" s="274"/>
      <c r="BW82" s="274"/>
      <c r="BX82" s="274"/>
      <c r="BY82" s="274"/>
      <c r="BZ82" s="274"/>
      <c r="CA82" s="274"/>
      <c r="CB82" s="274"/>
      <c r="CC82" s="274"/>
      <c r="CD82" s="274"/>
      <c r="CE82" s="274"/>
    </row>
    <row r="83" spans="1:83" s="112" customFormat="1" ht="18" x14ac:dyDescent="0.25">
      <c r="A83" s="274"/>
      <c r="B83" s="349"/>
      <c r="C83" s="350" t="s">
        <v>325</v>
      </c>
      <c r="D83" s="351" t="s">
        <v>228</v>
      </c>
      <c r="E83" s="393"/>
      <c r="F83" s="393"/>
      <c r="G83" s="393"/>
      <c r="H83" s="393"/>
      <c r="I83" s="393" t="s">
        <v>6</v>
      </c>
      <c r="J83" s="393" t="s">
        <v>6</v>
      </c>
      <c r="K83" s="393" t="s">
        <v>6</v>
      </c>
      <c r="L83" s="398">
        <v>5</v>
      </c>
      <c r="M83" s="395">
        <v>4.95</v>
      </c>
      <c r="N83" s="396">
        <v>2</v>
      </c>
      <c r="O83" s="426" t="s">
        <v>322</v>
      </c>
      <c r="P83" s="220" t="s">
        <v>6</v>
      </c>
      <c r="Q83" s="115"/>
      <c r="R83" s="79"/>
      <c r="S83" s="79"/>
      <c r="T83" s="79"/>
      <c r="U83" s="79"/>
      <c r="V83" s="102"/>
      <c r="W83" s="100"/>
      <c r="X83" s="100"/>
      <c r="Y83" s="47"/>
      <c r="Z83" s="75"/>
      <c r="AA83" s="89"/>
      <c r="AB83" s="75"/>
      <c r="AC83" s="75"/>
      <c r="AD83" s="75"/>
      <c r="AE83" s="75"/>
      <c r="AF83" s="75"/>
      <c r="AG83" s="75"/>
      <c r="AH83" s="75"/>
      <c r="AI83" s="75"/>
      <c r="AJ83" s="75"/>
      <c r="AK83" s="100"/>
      <c r="AL83" s="100"/>
      <c r="AM83" s="100"/>
      <c r="AN83" s="75"/>
      <c r="AO83" s="75"/>
      <c r="AP83" s="75"/>
      <c r="AQ83" s="75"/>
      <c r="AR83" s="75"/>
      <c r="AS83" s="75"/>
      <c r="AT83" s="75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11"/>
      <c r="BL83" s="100"/>
      <c r="BM83" s="274"/>
      <c r="BN83" s="274"/>
      <c r="BO83" s="274"/>
      <c r="BP83" s="274"/>
      <c r="BQ83" s="274"/>
      <c r="BR83" s="274"/>
      <c r="BS83" s="274"/>
      <c r="BT83" s="274"/>
      <c r="BU83" s="274"/>
      <c r="BV83" s="274"/>
      <c r="BW83" s="274"/>
      <c r="BX83" s="274"/>
      <c r="BY83" s="274"/>
      <c r="BZ83" s="274"/>
      <c r="CA83" s="274"/>
      <c r="CB83" s="274"/>
      <c r="CC83" s="274"/>
      <c r="CD83" s="274"/>
      <c r="CE83" s="274"/>
    </row>
    <row r="84" spans="1:83" s="112" customFormat="1" ht="18" x14ac:dyDescent="0.25">
      <c r="A84" s="274"/>
      <c r="B84" s="349"/>
      <c r="C84" s="350" t="s">
        <v>324</v>
      </c>
      <c r="D84" s="351" t="s">
        <v>228</v>
      </c>
      <c r="E84" s="393"/>
      <c r="F84" s="393"/>
      <c r="G84" s="393"/>
      <c r="H84" s="393"/>
      <c r="I84" s="393" t="s">
        <v>6</v>
      </c>
      <c r="J84" s="393" t="s">
        <v>6</v>
      </c>
      <c r="K84" s="393" t="s">
        <v>6</v>
      </c>
      <c r="L84" s="398">
        <v>5</v>
      </c>
      <c r="M84" s="395">
        <v>4.95</v>
      </c>
      <c r="N84" s="396">
        <v>2</v>
      </c>
      <c r="O84" s="426" t="s">
        <v>322</v>
      </c>
      <c r="P84" s="220" t="s">
        <v>6</v>
      </c>
      <c r="Q84" s="115"/>
      <c r="R84" s="79"/>
      <c r="S84" s="79"/>
      <c r="T84" s="79"/>
      <c r="U84" s="79"/>
      <c r="V84" s="102"/>
      <c r="W84" s="100"/>
      <c r="X84" s="100"/>
      <c r="Y84" s="118"/>
      <c r="Z84" s="119"/>
      <c r="AA84" s="89"/>
      <c r="AB84" s="75"/>
      <c r="AC84" s="75"/>
      <c r="AD84" s="75"/>
      <c r="AE84" s="75"/>
      <c r="AF84" s="75"/>
      <c r="AG84" s="75"/>
      <c r="AH84" s="75"/>
      <c r="AI84" s="75"/>
      <c r="AJ84" s="75"/>
      <c r="AK84" s="100"/>
      <c r="AL84" s="100"/>
      <c r="AM84" s="100"/>
      <c r="AN84" s="75"/>
      <c r="AO84" s="75"/>
      <c r="AP84" s="75"/>
      <c r="AQ84" s="75"/>
      <c r="AR84" s="75"/>
      <c r="AS84" s="75"/>
      <c r="AT84" s="75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11"/>
      <c r="BL84" s="100"/>
      <c r="BM84" s="274"/>
      <c r="BN84" s="274"/>
      <c r="BO84" s="274"/>
      <c r="BP84" s="274"/>
      <c r="BQ84" s="274"/>
      <c r="BR84" s="274"/>
      <c r="BS84" s="274"/>
      <c r="BT84" s="274"/>
      <c r="BU84" s="274"/>
      <c r="BV84" s="274"/>
      <c r="BW84" s="274"/>
      <c r="BX84" s="274"/>
      <c r="BY84" s="274"/>
      <c r="BZ84" s="274"/>
      <c r="CA84" s="274"/>
      <c r="CB84" s="274"/>
      <c r="CC84" s="274"/>
      <c r="CD84" s="274"/>
      <c r="CE84" s="274"/>
    </row>
    <row r="85" spans="1:83" ht="18" x14ac:dyDescent="0.25">
      <c r="B85" s="237"/>
      <c r="C85" s="106" t="s">
        <v>302</v>
      </c>
      <c r="D85" s="107" t="s">
        <v>233</v>
      </c>
      <c r="E85" s="233"/>
      <c r="F85" s="233"/>
      <c r="G85" s="233"/>
      <c r="H85" s="233"/>
      <c r="I85" s="233" t="s">
        <v>6</v>
      </c>
      <c r="J85" s="233" t="s">
        <v>6</v>
      </c>
      <c r="K85" s="233" t="s">
        <v>6</v>
      </c>
      <c r="L85" s="108">
        <v>20</v>
      </c>
      <c r="M85" s="113">
        <v>19.95</v>
      </c>
      <c r="N85" s="246">
        <v>2</v>
      </c>
      <c r="O85" s="114"/>
      <c r="P85" s="220"/>
      <c r="Q85" s="115"/>
      <c r="R85" s="79"/>
      <c r="S85" s="79"/>
      <c r="T85" s="79"/>
      <c r="U85" s="79"/>
      <c r="Y85" s="118"/>
      <c r="Z85" s="119"/>
      <c r="AA85" s="89"/>
      <c r="AB85" s="67"/>
      <c r="AC85" s="67"/>
      <c r="AD85" s="75"/>
      <c r="AE85" s="75"/>
      <c r="AF85" s="75"/>
      <c r="AG85" s="75"/>
      <c r="AH85" s="75"/>
      <c r="AI85" s="75"/>
      <c r="AJ85" s="75"/>
      <c r="AN85" s="75"/>
      <c r="AO85" s="75"/>
      <c r="AP85" s="75"/>
      <c r="AQ85" s="75"/>
      <c r="AR85" s="75"/>
      <c r="AS85" s="75"/>
      <c r="AT85" s="75"/>
      <c r="AV85" s="47"/>
      <c r="AW85" s="47"/>
      <c r="AZ85" s="47"/>
      <c r="BA85" s="47"/>
      <c r="BD85" s="47"/>
      <c r="BE85" s="47"/>
      <c r="BI85" s="47"/>
      <c r="BJ85" s="47"/>
    </row>
    <row r="86" spans="1:83" s="112" customFormat="1" ht="18" x14ac:dyDescent="0.25">
      <c r="A86" s="274"/>
      <c r="B86" s="237"/>
      <c r="C86" s="106" t="s">
        <v>281</v>
      </c>
      <c r="D86" s="107" t="s">
        <v>226</v>
      </c>
      <c r="E86" s="233"/>
      <c r="F86" s="233"/>
      <c r="G86" s="233"/>
      <c r="H86" s="233"/>
      <c r="I86" s="233"/>
      <c r="J86" s="233"/>
      <c r="K86" s="233" t="s">
        <v>6</v>
      </c>
      <c r="L86" s="108">
        <v>13</v>
      </c>
      <c r="M86" s="109">
        <v>12.95</v>
      </c>
      <c r="N86" s="245">
        <v>5</v>
      </c>
      <c r="O86" s="110"/>
      <c r="P86" s="220" t="s">
        <v>6</v>
      </c>
      <c r="Q86" s="79"/>
      <c r="R86" s="79"/>
      <c r="S86" s="79"/>
      <c r="T86" s="79"/>
      <c r="U86" s="79"/>
      <c r="V86" s="100"/>
      <c r="W86" s="100"/>
      <c r="X86" s="100"/>
      <c r="Y86" s="120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100"/>
      <c r="AL86" s="100"/>
      <c r="AM86" s="100"/>
      <c r="AN86" s="75"/>
      <c r="AO86" s="75"/>
      <c r="AP86" s="75"/>
      <c r="AQ86" s="75"/>
      <c r="AR86" s="75"/>
      <c r="AS86" s="75"/>
      <c r="AT86" s="75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11"/>
      <c r="BL86" s="100"/>
      <c r="BM86" s="274"/>
      <c r="BN86" s="274"/>
      <c r="BO86" s="274"/>
      <c r="BP86" s="274"/>
      <c r="BQ86" s="274"/>
      <c r="BR86" s="274"/>
      <c r="BS86" s="274"/>
      <c r="BT86" s="274"/>
      <c r="BU86" s="274"/>
      <c r="BV86" s="274"/>
      <c r="BW86" s="274"/>
      <c r="BX86" s="274"/>
      <c r="BY86" s="274"/>
      <c r="BZ86" s="274"/>
      <c r="CA86" s="274"/>
      <c r="CB86" s="274"/>
      <c r="CC86" s="274"/>
      <c r="CD86" s="274"/>
      <c r="CE86" s="274"/>
    </row>
    <row r="87" spans="1:83" ht="18" x14ac:dyDescent="0.25">
      <c r="B87" s="237"/>
      <c r="C87" s="106" t="s">
        <v>285</v>
      </c>
      <c r="D87" s="107" t="s">
        <v>240</v>
      </c>
      <c r="E87" s="233"/>
      <c r="F87" s="233"/>
      <c r="G87" s="233"/>
      <c r="H87" s="233"/>
      <c r="I87" s="233"/>
      <c r="J87" s="233"/>
      <c r="K87" s="233" t="s">
        <v>6</v>
      </c>
      <c r="L87" s="108">
        <v>12</v>
      </c>
      <c r="M87" s="113">
        <v>11.95</v>
      </c>
      <c r="N87" s="246">
        <v>2</v>
      </c>
      <c r="O87" s="114"/>
      <c r="P87" s="220" t="s">
        <v>6</v>
      </c>
      <c r="Q87" s="115"/>
      <c r="R87" s="79"/>
      <c r="S87" s="79"/>
      <c r="T87" s="79"/>
      <c r="U87" s="79"/>
      <c r="X87" s="121"/>
      <c r="Y87" s="122"/>
      <c r="Z87" s="75"/>
      <c r="AA87" s="123"/>
      <c r="AB87" s="75"/>
      <c r="AC87" s="75"/>
      <c r="AD87" s="75"/>
      <c r="AE87" s="75"/>
      <c r="AF87" s="75"/>
      <c r="AG87" s="75"/>
      <c r="AH87" s="75"/>
      <c r="AI87" s="75"/>
      <c r="AJ87" s="75"/>
      <c r="AK87" s="47"/>
      <c r="AL87" s="47"/>
      <c r="AM87" s="47"/>
      <c r="AN87" s="75"/>
      <c r="AO87" s="75"/>
      <c r="AP87" s="75"/>
      <c r="AQ87" s="75"/>
      <c r="AR87" s="75"/>
      <c r="AS87" s="75"/>
      <c r="AT87" s="75"/>
      <c r="AV87" s="47"/>
      <c r="AW87" s="47"/>
      <c r="AZ87" s="47"/>
      <c r="BA87" s="47"/>
      <c r="BD87" s="47"/>
      <c r="BE87" s="47"/>
      <c r="BI87" s="47"/>
      <c r="BJ87" s="47"/>
    </row>
    <row r="88" spans="1:83" ht="18" x14ac:dyDescent="0.25">
      <c r="B88" s="237"/>
      <c r="C88" s="106" t="s">
        <v>286</v>
      </c>
      <c r="D88" s="107" t="s">
        <v>241</v>
      </c>
      <c r="E88" s="233"/>
      <c r="F88" s="233"/>
      <c r="G88" s="233"/>
      <c r="H88" s="233"/>
      <c r="I88" s="233"/>
      <c r="J88" s="233"/>
      <c r="K88" s="233" t="s">
        <v>6</v>
      </c>
      <c r="L88" s="108">
        <v>13</v>
      </c>
      <c r="M88" s="113">
        <v>12.95</v>
      </c>
      <c r="N88" s="246">
        <v>2</v>
      </c>
      <c r="O88" s="114"/>
      <c r="P88" s="220" t="s">
        <v>6</v>
      </c>
      <c r="Q88" s="115"/>
      <c r="R88" s="79"/>
      <c r="S88" s="79"/>
      <c r="T88" s="79"/>
      <c r="U88" s="79"/>
      <c r="Y88" s="118"/>
      <c r="Z88" s="119"/>
      <c r="AA88" s="89"/>
      <c r="AB88" s="75"/>
      <c r="AC88" s="75"/>
      <c r="AD88" s="75"/>
      <c r="AE88" s="75"/>
      <c r="AF88" s="75"/>
      <c r="AG88" s="75"/>
      <c r="AH88" s="75"/>
      <c r="AI88" s="75"/>
      <c r="AJ88" s="75"/>
      <c r="AK88" s="47"/>
      <c r="AL88" s="47"/>
      <c r="AM88" s="47"/>
      <c r="AN88" s="75"/>
      <c r="AO88" s="75"/>
      <c r="AP88" s="75"/>
      <c r="AQ88" s="75"/>
      <c r="AR88" s="75"/>
      <c r="AS88" s="75"/>
      <c r="AT88" s="75"/>
      <c r="AV88" s="47"/>
      <c r="AW88" s="47"/>
      <c r="AZ88" s="47"/>
      <c r="BA88" s="47"/>
      <c r="BD88" s="47"/>
      <c r="BE88" s="47"/>
      <c r="BI88" s="47"/>
      <c r="BJ88" s="47"/>
    </row>
    <row r="89" spans="1:83" ht="18" x14ac:dyDescent="0.25">
      <c r="B89" s="237"/>
      <c r="C89" s="106" t="s">
        <v>333</v>
      </c>
      <c r="D89" s="107" t="s">
        <v>229</v>
      </c>
      <c r="E89" s="233"/>
      <c r="F89" s="233"/>
      <c r="G89" s="233"/>
      <c r="H89" s="233"/>
      <c r="I89" s="233"/>
      <c r="J89" s="233"/>
      <c r="K89" s="233" t="s">
        <v>6</v>
      </c>
      <c r="L89" s="108">
        <v>20</v>
      </c>
      <c r="M89" s="113">
        <v>19.95</v>
      </c>
      <c r="N89" s="246">
        <v>2</v>
      </c>
      <c r="O89" s="114"/>
      <c r="P89" s="220" t="s">
        <v>6</v>
      </c>
      <c r="Q89" s="115"/>
      <c r="R89" s="79"/>
      <c r="S89" s="79"/>
      <c r="T89" s="79"/>
      <c r="U89" s="79"/>
      <c r="Y89" s="79"/>
      <c r="Z89" s="75"/>
      <c r="AA89" s="89"/>
      <c r="AB89" s="75"/>
      <c r="AC89" s="75"/>
      <c r="AD89" s="75"/>
      <c r="AE89" s="75"/>
      <c r="AF89" s="75"/>
      <c r="AG89" s="75"/>
      <c r="AH89" s="75"/>
      <c r="AI89" s="75"/>
      <c r="AJ89" s="75"/>
      <c r="AK89" s="47"/>
      <c r="AL89" s="47"/>
      <c r="AM89" s="47"/>
      <c r="AN89" s="75"/>
      <c r="AO89" s="75"/>
      <c r="AP89" s="75"/>
      <c r="AQ89" s="75"/>
      <c r="AR89" s="75"/>
      <c r="AS89" s="75"/>
      <c r="AT89" s="75"/>
      <c r="AV89" s="47"/>
      <c r="AW89" s="47"/>
      <c r="AZ89" s="47"/>
      <c r="BA89" s="47"/>
      <c r="BD89" s="47"/>
      <c r="BE89" s="47"/>
      <c r="BI89" s="47"/>
      <c r="BJ89" s="47"/>
    </row>
    <row r="90" spans="1:83" s="97" customFormat="1" ht="18" x14ac:dyDescent="0.25">
      <c r="A90" s="269"/>
      <c r="B90" s="237"/>
      <c r="C90" s="106" t="s">
        <v>283</v>
      </c>
      <c r="D90" s="107" t="s">
        <v>225</v>
      </c>
      <c r="E90" s="233"/>
      <c r="F90" s="233"/>
      <c r="G90" s="233"/>
      <c r="H90" s="233"/>
      <c r="I90" s="233"/>
      <c r="J90" s="233"/>
      <c r="K90" s="233" t="s">
        <v>6</v>
      </c>
      <c r="L90" s="108">
        <v>18</v>
      </c>
      <c r="M90" s="113">
        <v>17.95</v>
      </c>
      <c r="N90" s="246">
        <v>5</v>
      </c>
      <c r="O90" s="114"/>
      <c r="P90" s="220" t="s">
        <v>6</v>
      </c>
      <c r="Q90" s="115"/>
      <c r="R90" s="79"/>
      <c r="S90" s="79"/>
      <c r="T90" s="79"/>
      <c r="U90" s="79"/>
      <c r="V90" s="103"/>
      <c r="W90" s="79"/>
      <c r="X90" s="79"/>
      <c r="Y90" s="118"/>
      <c r="Z90" s="119"/>
      <c r="AA90" s="89"/>
      <c r="AB90" s="75"/>
      <c r="AC90" s="75"/>
      <c r="AD90" s="75"/>
      <c r="AE90" s="75"/>
      <c r="AF90" s="75"/>
      <c r="AG90" s="75"/>
      <c r="AH90" s="75"/>
      <c r="AI90" s="75"/>
      <c r="AJ90" s="75"/>
      <c r="AK90" s="79"/>
      <c r="AL90" s="79"/>
      <c r="AM90" s="79"/>
      <c r="AN90" s="75"/>
      <c r="AO90" s="75"/>
      <c r="AP90" s="75"/>
      <c r="AQ90" s="75"/>
      <c r="AR90" s="75"/>
      <c r="AS90" s="75"/>
      <c r="AT90" s="75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89"/>
      <c r="BL90" s="7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9"/>
      <c r="BY90" s="269"/>
      <c r="BZ90" s="269"/>
      <c r="CA90" s="269"/>
      <c r="CB90" s="269"/>
      <c r="CC90" s="269"/>
      <c r="CD90" s="269"/>
      <c r="CE90" s="269"/>
    </row>
    <row r="91" spans="1:83" ht="18" x14ac:dyDescent="0.25">
      <c r="B91" s="237"/>
      <c r="C91" s="106" t="s">
        <v>287</v>
      </c>
      <c r="D91" s="107" t="s">
        <v>226</v>
      </c>
      <c r="E91" s="233"/>
      <c r="F91" s="233"/>
      <c r="G91" s="233"/>
      <c r="H91" s="233"/>
      <c r="I91" s="233"/>
      <c r="J91" s="233"/>
      <c r="K91" s="233" t="s">
        <v>6</v>
      </c>
      <c r="L91" s="108">
        <v>13</v>
      </c>
      <c r="M91" s="113">
        <v>12.95</v>
      </c>
      <c r="N91" s="246">
        <v>5</v>
      </c>
      <c r="O91" s="114"/>
      <c r="P91" s="220" t="s">
        <v>6</v>
      </c>
      <c r="Q91" s="115"/>
      <c r="R91" s="79"/>
      <c r="S91" s="79"/>
      <c r="T91" s="79"/>
      <c r="U91" s="79"/>
      <c r="Z91" s="75"/>
      <c r="AA91" s="89"/>
      <c r="AB91" s="67"/>
      <c r="AC91" s="67"/>
      <c r="AD91" s="75"/>
      <c r="AE91" s="75"/>
      <c r="AF91" s="75"/>
      <c r="AG91" s="75"/>
      <c r="AH91" s="75"/>
      <c r="AI91" s="75"/>
      <c r="AJ91" s="75"/>
      <c r="AN91" s="75"/>
      <c r="AO91" s="75"/>
      <c r="AP91" s="75"/>
      <c r="AQ91" s="75"/>
      <c r="AR91" s="75"/>
      <c r="AS91" s="75"/>
      <c r="AT91" s="75"/>
      <c r="AV91" s="47"/>
      <c r="AW91" s="47"/>
      <c r="AZ91" s="47"/>
      <c r="BA91" s="47"/>
      <c r="BD91" s="47"/>
      <c r="BE91" s="47"/>
      <c r="BI91" s="47"/>
      <c r="BJ91" s="47"/>
    </row>
    <row r="92" spans="1:83" ht="18" x14ac:dyDescent="0.25">
      <c r="B92" s="237"/>
      <c r="C92" s="106" t="s">
        <v>288</v>
      </c>
      <c r="D92" s="107" t="s">
        <v>226</v>
      </c>
      <c r="E92" s="233"/>
      <c r="F92" s="233"/>
      <c r="G92" s="233"/>
      <c r="H92" s="233"/>
      <c r="I92" s="233"/>
      <c r="J92" s="233"/>
      <c r="K92" s="233" t="s">
        <v>6</v>
      </c>
      <c r="L92" s="108">
        <v>13</v>
      </c>
      <c r="M92" s="113">
        <v>12.95</v>
      </c>
      <c r="N92" s="246">
        <v>5</v>
      </c>
      <c r="O92" s="114"/>
      <c r="P92" s="220" t="s">
        <v>6</v>
      </c>
      <c r="Q92" s="115"/>
      <c r="R92" s="79"/>
      <c r="S92" s="79"/>
      <c r="T92" s="79"/>
      <c r="U92" s="79"/>
      <c r="Z92" s="75"/>
      <c r="AA92" s="89"/>
      <c r="AB92" s="67"/>
      <c r="AC92" s="67"/>
      <c r="AD92" s="75"/>
      <c r="AE92" s="75"/>
      <c r="AF92" s="75"/>
      <c r="AG92" s="75"/>
      <c r="AH92" s="75"/>
      <c r="AI92" s="75"/>
      <c r="AJ92" s="67"/>
      <c r="AN92" s="75"/>
      <c r="AO92" s="75"/>
      <c r="AP92" s="75"/>
      <c r="AQ92" s="75"/>
      <c r="AR92" s="75"/>
      <c r="AS92" s="75"/>
      <c r="AT92" s="75"/>
      <c r="AV92" s="47"/>
      <c r="AW92" s="47"/>
      <c r="AZ92" s="47"/>
      <c r="BA92" s="47"/>
      <c r="BD92" s="47"/>
      <c r="BE92" s="47"/>
      <c r="BI92" s="47"/>
      <c r="BJ92" s="47"/>
    </row>
    <row r="93" spans="1:83" ht="18" x14ac:dyDescent="0.25">
      <c r="B93" s="237"/>
      <c r="C93" s="106" t="s">
        <v>289</v>
      </c>
      <c r="D93" s="107" t="s">
        <v>342</v>
      </c>
      <c r="E93" s="233"/>
      <c r="F93" s="233"/>
      <c r="G93" s="233"/>
      <c r="H93" s="233"/>
      <c r="I93" s="233"/>
      <c r="J93" s="233"/>
      <c r="K93" s="233" t="s">
        <v>6</v>
      </c>
      <c r="L93" s="108">
        <v>15</v>
      </c>
      <c r="M93" s="113">
        <v>14.95</v>
      </c>
      <c r="N93" s="246">
        <v>5</v>
      </c>
      <c r="O93" s="114"/>
      <c r="P93" s="220" t="s">
        <v>6</v>
      </c>
      <c r="Q93" s="115"/>
      <c r="R93" s="79"/>
      <c r="S93" s="79"/>
      <c r="T93" s="79"/>
      <c r="U93" s="79"/>
      <c r="Y93" s="118"/>
      <c r="Z93" s="119"/>
      <c r="AA93" s="89"/>
      <c r="AB93" s="67"/>
      <c r="AC93" s="67"/>
      <c r="AD93" s="75"/>
      <c r="AE93" s="75"/>
      <c r="AF93" s="75"/>
      <c r="AG93" s="75"/>
      <c r="AH93" s="75"/>
      <c r="AI93" s="75"/>
      <c r="AJ93" s="67"/>
      <c r="AN93" s="75"/>
      <c r="AO93" s="75"/>
      <c r="AP93" s="75"/>
      <c r="AQ93" s="75"/>
      <c r="AR93" s="75"/>
      <c r="AS93" s="75"/>
      <c r="AT93" s="75"/>
      <c r="AV93" s="47"/>
      <c r="AW93" s="47"/>
      <c r="AZ93" s="47"/>
      <c r="BA93" s="47"/>
      <c r="BD93" s="47"/>
      <c r="BE93" s="47"/>
      <c r="BI93" s="47"/>
      <c r="BJ93" s="47"/>
    </row>
    <row r="94" spans="1:83" ht="18" x14ac:dyDescent="0.25">
      <c r="B94" s="237"/>
      <c r="C94" s="106" t="s">
        <v>345</v>
      </c>
      <c r="D94" s="461" t="s">
        <v>224</v>
      </c>
      <c r="E94" s="462"/>
      <c r="F94" s="462"/>
      <c r="G94" s="462"/>
      <c r="H94" s="462"/>
      <c r="I94" s="462"/>
      <c r="J94" s="462"/>
      <c r="K94" s="462"/>
      <c r="L94" s="463" t="s">
        <v>7</v>
      </c>
      <c r="M94" s="464" t="s">
        <v>7</v>
      </c>
      <c r="N94" s="465" t="s">
        <v>7</v>
      </c>
      <c r="O94" s="466" t="s">
        <v>344</v>
      </c>
      <c r="P94" s="220" t="s">
        <v>6</v>
      </c>
      <c r="Q94" s="115"/>
      <c r="R94" s="79"/>
      <c r="S94" s="79"/>
      <c r="T94" s="79"/>
      <c r="U94" s="79"/>
      <c r="Y94" s="118"/>
      <c r="Z94" s="119"/>
      <c r="AA94" s="89"/>
      <c r="AB94" s="67"/>
      <c r="AC94" s="67"/>
      <c r="AD94" s="75"/>
      <c r="AE94" s="75"/>
      <c r="AF94" s="75"/>
      <c r="AG94" s="75"/>
      <c r="AH94" s="75"/>
      <c r="AI94" s="75"/>
      <c r="AJ94" s="67"/>
      <c r="AN94" s="75"/>
      <c r="AO94" s="75"/>
      <c r="AP94" s="75"/>
      <c r="AQ94" s="75"/>
      <c r="AR94" s="75"/>
      <c r="AS94" s="75"/>
      <c r="AT94" s="75"/>
      <c r="AV94" s="47"/>
      <c r="AW94" s="47"/>
      <c r="AZ94" s="47"/>
      <c r="BA94" s="47"/>
      <c r="BD94" s="47"/>
      <c r="BE94" s="47"/>
      <c r="BI94" s="47"/>
      <c r="BJ94" s="47"/>
    </row>
    <row r="95" spans="1:83" s="112" customFormat="1" ht="18" collapsed="1" x14ac:dyDescent="0.25">
      <c r="A95" s="274"/>
      <c r="B95" s="349"/>
      <c r="C95" s="350" t="s">
        <v>332</v>
      </c>
      <c r="D95" s="400" t="s">
        <v>7</v>
      </c>
      <c r="E95" s="397"/>
      <c r="F95" s="397"/>
      <c r="G95" s="393"/>
      <c r="H95" s="393"/>
      <c r="I95" s="393"/>
      <c r="J95" s="393"/>
      <c r="K95" s="393"/>
      <c r="L95" s="398" t="s">
        <v>7</v>
      </c>
      <c r="M95" s="395">
        <v>-4.95</v>
      </c>
      <c r="N95" s="396" t="s">
        <v>7</v>
      </c>
      <c r="O95" s="399"/>
      <c r="P95" s="220" t="s">
        <v>6</v>
      </c>
      <c r="Q95" s="79"/>
      <c r="R95" s="79"/>
      <c r="S95" s="79"/>
      <c r="T95" s="79"/>
      <c r="U95" s="79"/>
      <c r="V95" s="100"/>
      <c r="W95" s="100"/>
      <c r="X95" s="100"/>
      <c r="Y95" s="100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100"/>
      <c r="AL95" s="100"/>
      <c r="AM95" s="100"/>
      <c r="AN95" s="75"/>
      <c r="AO95" s="75"/>
      <c r="AP95" s="75"/>
      <c r="AQ95" s="75"/>
      <c r="AR95" s="75"/>
      <c r="AS95" s="75"/>
      <c r="AT95" s="75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11"/>
      <c r="BL95" s="100"/>
      <c r="BM95" s="274"/>
      <c r="BN95" s="274"/>
      <c r="BO95" s="274"/>
      <c r="BP95" s="274"/>
      <c r="BQ95" s="274"/>
      <c r="BR95" s="274"/>
      <c r="BS95" s="274"/>
      <c r="BT95" s="274"/>
      <c r="BU95" s="274"/>
      <c r="BV95" s="274"/>
      <c r="BW95" s="274"/>
      <c r="BX95" s="274"/>
      <c r="BY95" s="274"/>
      <c r="BZ95" s="274"/>
      <c r="CA95" s="274"/>
      <c r="CB95" s="274"/>
      <c r="CC95" s="274"/>
      <c r="CD95" s="274"/>
      <c r="CE95" s="274"/>
    </row>
    <row r="96" spans="1:83" s="112" customFormat="1" ht="18" x14ac:dyDescent="0.3">
      <c r="A96" s="274"/>
      <c r="B96" s="237"/>
      <c r="C96" s="124" t="s">
        <v>234</v>
      </c>
      <c r="D96" s="107" t="s">
        <v>235</v>
      </c>
      <c r="E96" s="234"/>
      <c r="F96" s="232"/>
      <c r="G96" s="233" t="s">
        <v>6</v>
      </c>
      <c r="H96" s="233" t="s">
        <v>6</v>
      </c>
      <c r="I96" s="233" t="s">
        <v>6</v>
      </c>
      <c r="J96" s="233" t="s">
        <v>6</v>
      </c>
      <c r="K96" s="233" t="s">
        <v>6</v>
      </c>
      <c r="L96" s="125" t="s">
        <v>7</v>
      </c>
      <c r="M96" s="109">
        <v>4.95</v>
      </c>
      <c r="N96" s="247" t="s">
        <v>7</v>
      </c>
      <c r="O96" s="110" t="s">
        <v>306</v>
      </c>
      <c r="P96" s="220" t="s">
        <v>6</v>
      </c>
      <c r="Q96" s="79"/>
      <c r="R96" s="79"/>
      <c r="S96" s="79"/>
      <c r="T96" s="79"/>
      <c r="U96" s="79"/>
      <c r="V96" s="100"/>
      <c r="W96" s="100"/>
      <c r="X96" s="100"/>
      <c r="Y96" s="100"/>
      <c r="Z96" s="75"/>
      <c r="AA96" s="75"/>
      <c r="AB96" s="126"/>
      <c r="AC96" s="126"/>
      <c r="AD96" s="75"/>
      <c r="AE96" s="75"/>
      <c r="AF96" s="48"/>
      <c r="AG96" s="126"/>
      <c r="AH96" s="126"/>
      <c r="AI96" s="126"/>
      <c r="AJ96" s="126"/>
      <c r="AK96" s="126"/>
      <c r="AL96" s="126"/>
      <c r="AM96" s="126"/>
      <c r="AN96" s="75"/>
      <c r="AO96" s="75"/>
      <c r="AP96" s="75"/>
      <c r="AQ96" s="75"/>
      <c r="AR96" s="75"/>
      <c r="AS96" s="75"/>
      <c r="AT96" s="75"/>
      <c r="AU96" s="100"/>
      <c r="AV96" s="127"/>
      <c r="AW96" s="127"/>
      <c r="AX96" s="100"/>
      <c r="AY96" s="100"/>
      <c r="AZ96" s="127"/>
      <c r="BA96" s="127"/>
      <c r="BB96" s="100"/>
      <c r="BC96" s="100"/>
      <c r="BD96" s="127"/>
      <c r="BE96" s="127"/>
      <c r="BF96" s="100"/>
      <c r="BG96" s="100"/>
      <c r="BH96" s="100"/>
      <c r="BI96" s="127"/>
      <c r="BJ96" s="127"/>
      <c r="BK96" s="111"/>
      <c r="BL96" s="100"/>
      <c r="BM96" s="274"/>
      <c r="BN96" s="274"/>
      <c r="BO96" s="274"/>
      <c r="BP96" s="274"/>
      <c r="BQ96" s="274"/>
      <c r="BR96" s="274"/>
      <c r="BS96" s="274"/>
      <c r="BT96" s="274"/>
      <c r="BU96" s="274"/>
      <c r="BV96" s="274"/>
      <c r="BW96" s="274"/>
      <c r="BX96" s="274"/>
      <c r="BY96" s="274"/>
      <c r="BZ96" s="274"/>
      <c r="CA96" s="274"/>
      <c r="CB96" s="274"/>
      <c r="CC96" s="274"/>
      <c r="CD96" s="274"/>
      <c r="CE96" s="274"/>
    </row>
    <row r="97" spans="1:83" s="134" customFormat="1" ht="18" x14ac:dyDescent="0.3">
      <c r="A97" s="275"/>
      <c r="B97" s="238"/>
      <c r="C97" s="128" t="s">
        <v>242</v>
      </c>
      <c r="D97" s="129" t="s">
        <v>244</v>
      </c>
      <c r="E97" s="235"/>
      <c r="F97" s="233"/>
      <c r="G97" s="233" t="s">
        <v>6</v>
      </c>
      <c r="H97" s="233" t="s">
        <v>6</v>
      </c>
      <c r="I97" s="233" t="s">
        <v>6</v>
      </c>
      <c r="J97" s="233" t="s">
        <v>6</v>
      </c>
      <c r="K97" s="233" t="s">
        <v>6</v>
      </c>
      <c r="L97" s="125" t="s">
        <v>7</v>
      </c>
      <c r="M97" s="130" t="s">
        <v>7</v>
      </c>
      <c r="N97" s="247" t="s">
        <v>7</v>
      </c>
      <c r="O97" s="131"/>
      <c r="P97" s="222" t="s">
        <v>6</v>
      </c>
      <c r="Q97" s="132">
        <f t="shared" ref="Q97:Q104" si="4">AA97</f>
        <v>0</v>
      </c>
      <c r="R97" s="79"/>
      <c r="S97" s="79"/>
      <c r="T97" s="79"/>
      <c r="U97" s="79"/>
      <c r="V97" s="48"/>
      <c r="W97" s="48"/>
      <c r="X97" s="48"/>
      <c r="Y97" s="48"/>
      <c r="Z97" s="75"/>
      <c r="AA97" s="89"/>
      <c r="AB97" s="72"/>
      <c r="AC97" s="72"/>
      <c r="AD97" s="75"/>
      <c r="AE97" s="75"/>
      <c r="AF97" s="48"/>
      <c r="AG97" s="72"/>
      <c r="AH97" s="72"/>
      <c r="AI97" s="72"/>
      <c r="AJ97" s="72"/>
      <c r="AK97" s="72"/>
      <c r="AL97" s="72"/>
      <c r="AM97" s="72"/>
      <c r="AN97" s="75"/>
      <c r="AO97" s="75"/>
      <c r="AP97" s="75"/>
      <c r="AQ97" s="75"/>
      <c r="AR97" s="75"/>
      <c r="AS97" s="75"/>
      <c r="AT97" s="75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133"/>
      <c r="BL97" s="48"/>
      <c r="BM97" s="275"/>
      <c r="BN97" s="275"/>
      <c r="BO97" s="275"/>
      <c r="BP97" s="275"/>
      <c r="BQ97" s="275"/>
      <c r="BR97" s="275"/>
      <c r="BS97" s="275"/>
      <c r="BT97" s="275"/>
      <c r="BU97" s="275"/>
      <c r="BV97" s="275"/>
      <c r="BW97" s="275"/>
      <c r="BX97" s="275"/>
      <c r="BY97" s="275"/>
      <c r="BZ97" s="275"/>
      <c r="CA97" s="275"/>
      <c r="CB97" s="275"/>
      <c r="CC97" s="275"/>
      <c r="CD97" s="275"/>
      <c r="CE97" s="275"/>
    </row>
    <row r="98" spans="1:83" s="134" customFormat="1" ht="18" x14ac:dyDescent="0.3">
      <c r="A98" s="275"/>
      <c r="B98" s="238"/>
      <c r="C98" s="128" t="s">
        <v>267</v>
      </c>
      <c r="D98" s="129" t="s">
        <v>244</v>
      </c>
      <c r="E98" s="235"/>
      <c r="F98" s="233"/>
      <c r="G98" s="233" t="s">
        <v>6</v>
      </c>
      <c r="H98" s="233" t="s">
        <v>6</v>
      </c>
      <c r="I98" s="233" t="s">
        <v>6</v>
      </c>
      <c r="J98" s="233" t="s">
        <v>6</v>
      </c>
      <c r="K98" s="233" t="s">
        <v>6</v>
      </c>
      <c r="L98" s="125" t="s">
        <v>7</v>
      </c>
      <c r="M98" s="130" t="s">
        <v>7</v>
      </c>
      <c r="N98" s="247" t="s">
        <v>7</v>
      </c>
      <c r="O98" s="131"/>
      <c r="P98" s="222" t="s">
        <v>6</v>
      </c>
      <c r="Q98" s="132">
        <f t="shared" si="4"/>
        <v>0</v>
      </c>
      <c r="R98" s="79"/>
      <c r="S98" s="79"/>
      <c r="T98" s="79"/>
      <c r="U98" s="79"/>
      <c r="V98" s="48"/>
      <c r="W98" s="48"/>
      <c r="X98" s="48"/>
      <c r="Y98" s="48"/>
      <c r="Z98" s="75"/>
      <c r="AA98" s="89"/>
      <c r="AB98" s="72"/>
      <c r="AC98" s="72"/>
      <c r="AD98" s="75"/>
      <c r="AE98" s="75"/>
      <c r="AF98" s="48"/>
      <c r="AG98" s="72"/>
      <c r="AH98" s="72"/>
      <c r="AI98" s="72"/>
      <c r="AJ98" s="72"/>
      <c r="AK98" s="72"/>
      <c r="AL98" s="72"/>
      <c r="AM98" s="72"/>
      <c r="AN98" s="75"/>
      <c r="AO98" s="75"/>
      <c r="AP98" s="75"/>
      <c r="AQ98" s="75"/>
      <c r="AR98" s="75"/>
      <c r="AS98" s="75"/>
      <c r="AT98" s="75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133"/>
      <c r="BL98" s="48"/>
      <c r="BM98" s="275"/>
      <c r="BN98" s="275"/>
      <c r="BO98" s="275"/>
      <c r="BP98" s="275"/>
      <c r="BQ98" s="275"/>
      <c r="BR98" s="275"/>
      <c r="BS98" s="275"/>
      <c r="BT98" s="275"/>
      <c r="BU98" s="275"/>
      <c r="BV98" s="275"/>
      <c r="BW98" s="275"/>
      <c r="BX98" s="275"/>
      <c r="BY98" s="275"/>
      <c r="BZ98" s="275"/>
      <c r="CA98" s="275"/>
      <c r="CB98" s="275"/>
      <c r="CC98" s="275"/>
      <c r="CD98" s="275"/>
      <c r="CE98" s="275"/>
    </row>
    <row r="99" spans="1:83" s="134" customFormat="1" ht="18" x14ac:dyDescent="0.3">
      <c r="A99" s="275"/>
      <c r="B99" s="238"/>
      <c r="C99" s="128" t="s">
        <v>262</v>
      </c>
      <c r="D99" s="129" t="s">
        <v>244</v>
      </c>
      <c r="E99" s="235"/>
      <c r="F99" s="233"/>
      <c r="G99" s="233" t="s">
        <v>6</v>
      </c>
      <c r="H99" s="233" t="s">
        <v>6</v>
      </c>
      <c r="I99" s="233" t="s">
        <v>6</v>
      </c>
      <c r="J99" s="233" t="s">
        <v>6</v>
      </c>
      <c r="K99" s="233" t="s">
        <v>6</v>
      </c>
      <c r="L99" s="125" t="s">
        <v>7</v>
      </c>
      <c r="M99" s="130" t="s">
        <v>7</v>
      </c>
      <c r="N99" s="247" t="s">
        <v>7</v>
      </c>
      <c r="O99" s="131"/>
      <c r="P99" s="222" t="s">
        <v>6</v>
      </c>
      <c r="Q99" s="132">
        <f t="shared" si="4"/>
        <v>0</v>
      </c>
      <c r="R99" s="79"/>
      <c r="S99" s="79"/>
      <c r="T99" s="79"/>
      <c r="U99" s="79"/>
      <c r="V99" s="48"/>
      <c r="W99" s="48"/>
      <c r="X99" s="48"/>
      <c r="Y99" s="48"/>
      <c r="Z99" s="75"/>
      <c r="AA99" s="89"/>
      <c r="AB99" s="72"/>
      <c r="AC99" s="72"/>
      <c r="AD99" s="75"/>
      <c r="AE99" s="75"/>
      <c r="AF99" s="48"/>
      <c r="AG99" s="72"/>
      <c r="AH99" s="72"/>
      <c r="AI99" s="72"/>
      <c r="AJ99" s="72"/>
      <c r="AK99" s="72"/>
      <c r="AL99" s="72"/>
      <c r="AM99" s="72"/>
      <c r="AN99" s="75"/>
      <c r="AO99" s="75"/>
      <c r="AP99" s="75"/>
      <c r="AQ99" s="75"/>
      <c r="AR99" s="75"/>
      <c r="AS99" s="75"/>
      <c r="AT99" s="75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133"/>
      <c r="BL99" s="48"/>
      <c r="BM99" s="275"/>
      <c r="BN99" s="275"/>
      <c r="BO99" s="275"/>
      <c r="BP99" s="275"/>
      <c r="BQ99" s="275"/>
      <c r="BR99" s="275"/>
      <c r="BS99" s="275"/>
      <c r="BT99" s="275"/>
      <c r="BU99" s="275"/>
      <c r="BV99" s="275"/>
      <c r="BW99" s="275"/>
      <c r="BX99" s="275"/>
      <c r="BY99" s="275"/>
      <c r="BZ99" s="275"/>
      <c r="CA99" s="275"/>
      <c r="CB99" s="275"/>
      <c r="CC99" s="275"/>
      <c r="CD99" s="275"/>
      <c r="CE99" s="275"/>
    </row>
    <row r="100" spans="1:83" s="134" customFormat="1" ht="18" x14ac:dyDescent="0.3">
      <c r="A100" s="275"/>
      <c r="B100" s="238"/>
      <c r="C100" s="128" t="s">
        <v>265</v>
      </c>
      <c r="D100" s="129" t="s">
        <v>244</v>
      </c>
      <c r="E100" s="235"/>
      <c r="F100" s="233"/>
      <c r="G100" s="233" t="s">
        <v>6</v>
      </c>
      <c r="H100" s="233" t="s">
        <v>6</v>
      </c>
      <c r="I100" s="233" t="s">
        <v>6</v>
      </c>
      <c r="J100" s="233" t="s">
        <v>6</v>
      </c>
      <c r="K100" s="233" t="s">
        <v>6</v>
      </c>
      <c r="L100" s="125" t="s">
        <v>7</v>
      </c>
      <c r="M100" s="130" t="s">
        <v>7</v>
      </c>
      <c r="N100" s="247" t="s">
        <v>7</v>
      </c>
      <c r="O100" s="131"/>
      <c r="P100" s="222" t="s">
        <v>6</v>
      </c>
      <c r="Q100" s="132">
        <f t="shared" si="4"/>
        <v>0</v>
      </c>
      <c r="R100" s="79"/>
      <c r="S100" s="79"/>
      <c r="T100" s="79"/>
      <c r="U100" s="79"/>
      <c r="V100" s="48"/>
      <c r="W100" s="48"/>
      <c r="X100" s="48"/>
      <c r="Y100" s="48"/>
      <c r="Z100" s="75"/>
      <c r="AA100" s="89"/>
      <c r="AB100" s="72"/>
      <c r="AC100" s="72"/>
      <c r="AD100" s="75"/>
      <c r="AE100" s="75"/>
      <c r="AF100" s="48"/>
      <c r="AG100" s="72"/>
      <c r="AH100" s="72"/>
      <c r="AI100" s="72"/>
      <c r="AJ100" s="72"/>
      <c r="AK100" s="72"/>
      <c r="AL100" s="72"/>
      <c r="AM100" s="72"/>
      <c r="AN100" s="75"/>
      <c r="AO100" s="75"/>
      <c r="AP100" s="75"/>
      <c r="AQ100" s="75"/>
      <c r="AR100" s="75"/>
      <c r="AS100" s="75"/>
      <c r="AT100" s="75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133"/>
      <c r="BL100" s="48"/>
      <c r="BM100" s="275"/>
      <c r="BN100" s="275"/>
      <c r="BO100" s="275"/>
      <c r="BP100" s="275"/>
      <c r="BQ100" s="275"/>
      <c r="BR100" s="275"/>
      <c r="BS100" s="275"/>
      <c r="BT100" s="275"/>
      <c r="BU100" s="275"/>
      <c r="BV100" s="275"/>
      <c r="BW100" s="275"/>
      <c r="BX100" s="275"/>
      <c r="BY100" s="275"/>
      <c r="BZ100" s="275"/>
      <c r="CA100" s="275"/>
      <c r="CB100" s="275"/>
      <c r="CC100" s="275"/>
      <c r="CD100" s="275"/>
      <c r="CE100" s="275"/>
    </row>
    <row r="101" spans="1:83" s="134" customFormat="1" ht="18" x14ac:dyDescent="0.3">
      <c r="A101" s="275"/>
      <c r="B101" s="238"/>
      <c r="C101" s="128" t="s">
        <v>316</v>
      </c>
      <c r="D101" s="129" t="s">
        <v>244</v>
      </c>
      <c r="E101" s="235"/>
      <c r="F101" s="233"/>
      <c r="G101" s="233" t="s">
        <v>6</v>
      </c>
      <c r="H101" s="233" t="s">
        <v>6</v>
      </c>
      <c r="I101" s="233" t="s">
        <v>6</v>
      </c>
      <c r="J101" s="233" t="s">
        <v>6</v>
      </c>
      <c r="K101" s="233" t="s">
        <v>6</v>
      </c>
      <c r="L101" s="125" t="s">
        <v>7</v>
      </c>
      <c r="M101" s="130" t="s">
        <v>7</v>
      </c>
      <c r="N101" s="247" t="s">
        <v>7</v>
      </c>
      <c r="O101" s="131"/>
      <c r="P101" s="222" t="s">
        <v>6</v>
      </c>
      <c r="Q101" s="132">
        <f t="shared" ref="Q101" si="5">AA101</f>
        <v>0</v>
      </c>
      <c r="R101" s="79"/>
      <c r="S101" s="79"/>
      <c r="T101" s="79"/>
      <c r="U101" s="79"/>
      <c r="V101" s="48"/>
      <c r="W101" s="48"/>
      <c r="X101" s="48"/>
      <c r="Y101" s="48"/>
      <c r="Z101" s="75"/>
      <c r="AA101" s="89"/>
      <c r="AB101" s="72"/>
      <c r="AC101" s="72"/>
      <c r="AD101" s="75"/>
      <c r="AE101" s="75"/>
      <c r="AF101" s="48"/>
      <c r="AG101" s="72"/>
      <c r="AH101" s="72"/>
      <c r="AI101" s="72"/>
      <c r="AJ101" s="72"/>
      <c r="AK101" s="72"/>
      <c r="AL101" s="72"/>
      <c r="AM101" s="72"/>
      <c r="AN101" s="75"/>
      <c r="AO101" s="75"/>
      <c r="AP101" s="75"/>
      <c r="AQ101" s="75"/>
      <c r="AR101" s="75"/>
      <c r="AS101" s="75"/>
      <c r="AT101" s="75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133"/>
      <c r="BL101" s="48"/>
      <c r="BM101" s="275"/>
      <c r="BN101" s="275"/>
      <c r="BO101" s="275"/>
      <c r="BP101" s="275"/>
      <c r="BQ101" s="275"/>
      <c r="BR101" s="275"/>
      <c r="BS101" s="275"/>
      <c r="BT101" s="275"/>
      <c r="BU101" s="275"/>
      <c r="BV101" s="275"/>
      <c r="BW101" s="275"/>
      <c r="BX101" s="275"/>
      <c r="BY101" s="275"/>
      <c r="BZ101" s="275"/>
      <c r="CA101" s="275"/>
      <c r="CB101" s="275"/>
      <c r="CC101" s="275"/>
      <c r="CD101" s="275"/>
      <c r="CE101" s="275"/>
    </row>
    <row r="102" spans="1:83" s="134" customFormat="1" ht="18" x14ac:dyDescent="0.3">
      <c r="A102" s="275"/>
      <c r="B102" s="238"/>
      <c r="C102" s="128" t="s">
        <v>261</v>
      </c>
      <c r="D102" s="129" t="s">
        <v>246</v>
      </c>
      <c r="E102" s="235"/>
      <c r="F102" s="233"/>
      <c r="G102" s="233" t="s">
        <v>6</v>
      </c>
      <c r="H102" s="233" t="s">
        <v>6</v>
      </c>
      <c r="I102" s="233" t="s">
        <v>6</v>
      </c>
      <c r="J102" s="233" t="s">
        <v>6</v>
      </c>
      <c r="K102" s="233" t="s">
        <v>6</v>
      </c>
      <c r="L102" s="125" t="s">
        <v>7</v>
      </c>
      <c r="M102" s="130" t="s">
        <v>7</v>
      </c>
      <c r="N102" s="247" t="s">
        <v>7</v>
      </c>
      <c r="O102" s="131"/>
      <c r="P102" s="222" t="s">
        <v>6</v>
      </c>
      <c r="Q102" s="132">
        <f t="shared" si="4"/>
        <v>0</v>
      </c>
      <c r="R102" s="79"/>
      <c r="S102" s="79"/>
      <c r="T102" s="79"/>
      <c r="U102" s="79"/>
      <c r="V102" s="48"/>
      <c r="W102" s="48"/>
      <c r="X102" s="48"/>
      <c r="Y102" s="48"/>
      <c r="Z102" s="75"/>
      <c r="AA102" s="89"/>
      <c r="AB102" s="72"/>
      <c r="AC102" s="72"/>
      <c r="AD102" s="75"/>
      <c r="AE102" s="75"/>
      <c r="AF102" s="48"/>
      <c r="AG102" s="72"/>
      <c r="AH102" s="72"/>
      <c r="AI102" s="72"/>
      <c r="AJ102" s="72"/>
      <c r="AK102" s="72"/>
      <c r="AL102" s="72"/>
      <c r="AM102" s="72"/>
      <c r="AN102" s="75"/>
      <c r="AO102" s="75"/>
      <c r="AP102" s="75"/>
      <c r="AQ102" s="75"/>
      <c r="AR102" s="75"/>
      <c r="AS102" s="75"/>
      <c r="AT102" s="75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133"/>
      <c r="BL102" s="48"/>
      <c r="BM102" s="275"/>
      <c r="BN102" s="275"/>
      <c r="BO102" s="275"/>
      <c r="BP102" s="275"/>
      <c r="BQ102" s="275"/>
      <c r="BR102" s="275"/>
      <c r="BS102" s="275"/>
      <c r="BT102" s="275"/>
      <c r="BU102" s="275"/>
      <c r="BV102" s="275"/>
      <c r="BW102" s="275"/>
      <c r="BX102" s="275"/>
      <c r="BY102" s="275"/>
      <c r="BZ102" s="275"/>
      <c r="CA102" s="275"/>
      <c r="CB102" s="275"/>
      <c r="CC102" s="275"/>
      <c r="CD102" s="275"/>
      <c r="CE102" s="275"/>
    </row>
    <row r="103" spans="1:83" s="134" customFormat="1" ht="18" x14ac:dyDescent="0.3">
      <c r="A103" s="275"/>
      <c r="B103" s="238"/>
      <c r="C103" s="128" t="s">
        <v>264</v>
      </c>
      <c r="D103" s="129" t="s">
        <v>246</v>
      </c>
      <c r="E103" s="235"/>
      <c r="F103" s="233"/>
      <c r="G103" s="233" t="s">
        <v>6</v>
      </c>
      <c r="H103" s="233" t="s">
        <v>6</v>
      </c>
      <c r="I103" s="233" t="s">
        <v>6</v>
      </c>
      <c r="J103" s="233" t="s">
        <v>6</v>
      </c>
      <c r="K103" s="233" t="s">
        <v>6</v>
      </c>
      <c r="L103" s="125" t="s">
        <v>7</v>
      </c>
      <c r="M103" s="130" t="s">
        <v>7</v>
      </c>
      <c r="N103" s="247" t="s">
        <v>7</v>
      </c>
      <c r="O103" s="131"/>
      <c r="P103" s="222" t="s">
        <v>6</v>
      </c>
      <c r="Q103" s="132">
        <f t="shared" si="4"/>
        <v>0</v>
      </c>
      <c r="R103" s="79"/>
      <c r="S103" s="79"/>
      <c r="T103" s="79"/>
      <c r="U103" s="79"/>
      <c r="V103" s="48"/>
      <c r="W103" s="48"/>
      <c r="X103" s="48"/>
      <c r="Y103" s="48"/>
      <c r="Z103" s="75"/>
      <c r="AA103" s="89"/>
      <c r="AB103" s="72"/>
      <c r="AC103" s="72"/>
      <c r="AD103" s="75"/>
      <c r="AE103" s="75"/>
      <c r="AF103" s="48"/>
      <c r="AG103" s="72"/>
      <c r="AH103" s="72"/>
      <c r="AI103" s="72"/>
      <c r="AJ103" s="72"/>
      <c r="AK103" s="72"/>
      <c r="AL103" s="72"/>
      <c r="AM103" s="72"/>
      <c r="AN103" s="75"/>
      <c r="AO103" s="75"/>
      <c r="AP103" s="75"/>
      <c r="AQ103" s="75"/>
      <c r="AR103" s="75"/>
      <c r="AS103" s="75"/>
      <c r="AT103" s="75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133"/>
      <c r="BL103" s="48"/>
      <c r="BM103" s="275"/>
      <c r="BN103" s="275"/>
      <c r="BO103" s="275"/>
      <c r="BP103" s="275"/>
      <c r="BQ103" s="275"/>
      <c r="BR103" s="275"/>
      <c r="BS103" s="275"/>
      <c r="BT103" s="275"/>
      <c r="BU103" s="275"/>
      <c r="BV103" s="275"/>
      <c r="BW103" s="275"/>
      <c r="BX103" s="275"/>
      <c r="BY103" s="275"/>
      <c r="BZ103" s="275"/>
      <c r="CA103" s="275"/>
      <c r="CB103" s="275"/>
      <c r="CC103" s="275"/>
      <c r="CD103" s="275"/>
      <c r="CE103" s="275"/>
    </row>
    <row r="104" spans="1:83" s="134" customFormat="1" ht="18" x14ac:dyDescent="0.3">
      <c r="A104" s="275"/>
      <c r="B104" s="238"/>
      <c r="C104" s="128" t="s">
        <v>269</v>
      </c>
      <c r="D104" s="129" t="s">
        <v>246</v>
      </c>
      <c r="E104" s="235"/>
      <c r="F104" s="233"/>
      <c r="G104" s="233" t="s">
        <v>6</v>
      </c>
      <c r="H104" s="233" t="s">
        <v>6</v>
      </c>
      <c r="I104" s="233" t="s">
        <v>6</v>
      </c>
      <c r="J104" s="233" t="s">
        <v>6</v>
      </c>
      <c r="K104" s="233" t="s">
        <v>6</v>
      </c>
      <c r="L104" s="125" t="s">
        <v>7</v>
      </c>
      <c r="M104" s="130" t="s">
        <v>7</v>
      </c>
      <c r="N104" s="247" t="s">
        <v>7</v>
      </c>
      <c r="O104" s="131"/>
      <c r="P104" s="222" t="s">
        <v>6</v>
      </c>
      <c r="Q104" s="132">
        <f t="shared" si="4"/>
        <v>0</v>
      </c>
      <c r="R104" s="79"/>
      <c r="S104" s="79"/>
      <c r="T104" s="79"/>
      <c r="U104" s="79"/>
      <c r="V104" s="48"/>
      <c r="W104" s="48"/>
      <c r="X104" s="48"/>
      <c r="Y104" s="48"/>
      <c r="Z104" s="75"/>
      <c r="AA104" s="89"/>
      <c r="AB104" s="72"/>
      <c r="AC104" s="72"/>
      <c r="AD104" s="75"/>
      <c r="AE104" s="75"/>
      <c r="AF104" s="48"/>
      <c r="AG104" s="72"/>
      <c r="AH104" s="72"/>
      <c r="AI104" s="72"/>
      <c r="AJ104" s="72"/>
      <c r="AK104" s="72"/>
      <c r="AL104" s="72"/>
      <c r="AM104" s="72"/>
      <c r="AN104" s="75"/>
      <c r="AO104" s="75"/>
      <c r="AP104" s="75"/>
      <c r="AQ104" s="75"/>
      <c r="AR104" s="75"/>
      <c r="AS104" s="75"/>
      <c r="AT104" s="75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133"/>
      <c r="BL104" s="48"/>
      <c r="BM104" s="275"/>
      <c r="BN104" s="275"/>
      <c r="BO104" s="275"/>
      <c r="BP104" s="275"/>
      <c r="BQ104" s="275"/>
      <c r="BR104" s="275"/>
      <c r="BS104" s="275"/>
      <c r="BT104" s="275"/>
      <c r="BU104" s="275"/>
      <c r="BV104" s="275"/>
      <c r="BW104" s="275"/>
      <c r="BX104" s="275"/>
      <c r="BY104" s="275"/>
      <c r="BZ104" s="275"/>
      <c r="CA104" s="275"/>
      <c r="CB104" s="275"/>
      <c r="CC104" s="275"/>
      <c r="CD104" s="275"/>
      <c r="CE104" s="275"/>
    </row>
    <row r="105" spans="1:83" s="112" customFormat="1" ht="18" x14ac:dyDescent="0.3">
      <c r="A105" s="274"/>
      <c r="B105" s="237"/>
      <c r="C105" s="124" t="s">
        <v>236</v>
      </c>
      <c r="D105" s="107" t="s">
        <v>237</v>
      </c>
      <c r="E105" s="234"/>
      <c r="F105" s="232"/>
      <c r="G105" s="234"/>
      <c r="H105" s="233"/>
      <c r="I105" s="233" t="s">
        <v>6</v>
      </c>
      <c r="J105" s="233" t="s">
        <v>6</v>
      </c>
      <c r="K105" s="233" t="s">
        <v>6</v>
      </c>
      <c r="L105" s="125">
        <v>25</v>
      </c>
      <c r="M105" s="109">
        <v>24.95</v>
      </c>
      <c r="N105" s="247" t="s">
        <v>7</v>
      </c>
      <c r="O105" s="110"/>
      <c r="P105" s="220" t="s">
        <v>6</v>
      </c>
      <c r="Q105" s="79"/>
      <c r="R105" s="79"/>
      <c r="S105" s="79"/>
      <c r="T105" s="79"/>
      <c r="U105" s="79"/>
      <c r="V105" s="100"/>
      <c r="W105" s="100"/>
      <c r="X105" s="100"/>
      <c r="Y105" s="100"/>
      <c r="Z105" s="75"/>
      <c r="AA105" s="75"/>
      <c r="AB105" s="126"/>
      <c r="AC105" s="126"/>
      <c r="AD105" s="75"/>
      <c r="AE105" s="75"/>
      <c r="AF105" s="48"/>
      <c r="AG105" s="126"/>
      <c r="AH105" s="126"/>
      <c r="AI105" s="126"/>
      <c r="AJ105" s="126"/>
      <c r="AK105" s="126"/>
      <c r="AL105" s="126"/>
      <c r="AM105" s="126"/>
      <c r="AN105" s="75"/>
      <c r="AO105" s="75"/>
      <c r="AP105" s="75"/>
      <c r="AQ105" s="75"/>
      <c r="AR105" s="75"/>
      <c r="AS105" s="75"/>
      <c r="AT105" s="75"/>
      <c r="AU105" s="100"/>
      <c r="AV105" s="127"/>
      <c r="AW105" s="127"/>
      <c r="AX105" s="100"/>
      <c r="AY105" s="100"/>
      <c r="AZ105" s="127"/>
      <c r="BA105" s="127"/>
      <c r="BB105" s="100"/>
      <c r="BC105" s="100"/>
      <c r="BD105" s="127"/>
      <c r="BE105" s="127"/>
      <c r="BF105" s="100"/>
      <c r="BG105" s="100"/>
      <c r="BH105" s="100"/>
      <c r="BI105" s="127"/>
      <c r="BJ105" s="127"/>
      <c r="BK105" s="111"/>
      <c r="BL105" s="100"/>
      <c r="BM105" s="274"/>
      <c r="BN105" s="274"/>
      <c r="BO105" s="274"/>
      <c r="BP105" s="274"/>
      <c r="BQ105" s="274"/>
      <c r="BR105" s="274"/>
      <c r="BS105" s="274"/>
      <c r="BT105" s="274"/>
      <c r="BU105" s="274"/>
      <c r="BV105" s="274"/>
      <c r="BW105" s="274"/>
      <c r="BX105" s="274"/>
      <c r="BY105" s="274"/>
      <c r="BZ105" s="274"/>
      <c r="CA105" s="274"/>
      <c r="CB105" s="274"/>
      <c r="CC105" s="274"/>
      <c r="CD105" s="274"/>
      <c r="CE105" s="274"/>
    </row>
    <row r="106" spans="1:83" s="134" customFormat="1" ht="18" x14ac:dyDescent="0.3">
      <c r="A106" s="275"/>
      <c r="B106" s="238"/>
      <c r="C106" s="128" t="s">
        <v>329</v>
      </c>
      <c r="D106" s="129" t="s">
        <v>224</v>
      </c>
      <c r="E106" s="235"/>
      <c r="F106" s="233"/>
      <c r="G106" s="233"/>
      <c r="H106" s="233"/>
      <c r="I106" s="233" t="s">
        <v>6</v>
      </c>
      <c r="J106" s="233" t="s">
        <v>6</v>
      </c>
      <c r="K106" s="233" t="s">
        <v>6</v>
      </c>
      <c r="L106" s="125" t="s">
        <v>7</v>
      </c>
      <c r="M106" s="130" t="s">
        <v>7</v>
      </c>
      <c r="N106" s="247" t="s">
        <v>7</v>
      </c>
      <c r="O106" s="131"/>
      <c r="P106" s="222" t="s">
        <v>6</v>
      </c>
      <c r="Q106" s="132">
        <f t="shared" ref="Q106:Q112" si="6">AA106</f>
        <v>0</v>
      </c>
      <c r="R106" s="79"/>
      <c r="S106" s="79"/>
      <c r="T106" s="79"/>
      <c r="U106" s="79"/>
      <c r="V106" s="48"/>
      <c r="W106" s="48"/>
      <c r="X106" s="48"/>
      <c r="Y106" s="48"/>
      <c r="Z106" s="75"/>
      <c r="AA106" s="89"/>
      <c r="AB106" s="72"/>
      <c r="AC106" s="72"/>
      <c r="AD106" s="75"/>
      <c r="AE106" s="75"/>
      <c r="AF106" s="48"/>
      <c r="AG106" s="72"/>
      <c r="AH106" s="72"/>
      <c r="AI106" s="72"/>
      <c r="AJ106" s="72"/>
      <c r="AK106" s="72"/>
      <c r="AL106" s="72"/>
      <c r="AM106" s="72"/>
      <c r="AN106" s="75"/>
      <c r="AO106" s="75"/>
      <c r="AP106" s="75"/>
      <c r="AQ106" s="75"/>
      <c r="AR106" s="75"/>
      <c r="AS106" s="75"/>
      <c r="AT106" s="75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133"/>
      <c r="BL106" s="48"/>
      <c r="BM106" s="275"/>
      <c r="BN106" s="275"/>
      <c r="BO106" s="275"/>
      <c r="BP106" s="275"/>
      <c r="BQ106" s="275"/>
      <c r="BR106" s="275"/>
      <c r="BS106" s="275"/>
      <c r="BT106" s="275"/>
      <c r="BU106" s="275"/>
      <c r="BV106" s="275"/>
      <c r="BW106" s="275"/>
      <c r="BX106" s="275"/>
      <c r="BY106" s="275"/>
      <c r="BZ106" s="275"/>
      <c r="CA106" s="275"/>
      <c r="CB106" s="275"/>
      <c r="CC106" s="275"/>
      <c r="CD106" s="275"/>
      <c r="CE106" s="275"/>
    </row>
    <row r="107" spans="1:83" s="134" customFormat="1" ht="18" x14ac:dyDescent="0.3">
      <c r="A107" s="275"/>
      <c r="B107" s="238"/>
      <c r="C107" s="128" t="s">
        <v>346</v>
      </c>
      <c r="D107" s="129" t="s">
        <v>224</v>
      </c>
      <c r="E107" s="242"/>
      <c r="F107" s="242"/>
      <c r="G107" s="242"/>
      <c r="H107" s="242"/>
      <c r="I107" s="242" t="s">
        <v>6</v>
      </c>
      <c r="J107" s="242" t="s">
        <v>6</v>
      </c>
      <c r="K107" s="242" t="s">
        <v>6</v>
      </c>
      <c r="L107" s="125" t="s">
        <v>7</v>
      </c>
      <c r="M107" s="130" t="s">
        <v>7</v>
      </c>
      <c r="N107" s="247" t="s">
        <v>7</v>
      </c>
      <c r="O107" s="131"/>
      <c r="P107" s="222"/>
      <c r="Q107" s="132"/>
      <c r="R107" s="79"/>
      <c r="S107" s="79"/>
      <c r="T107" s="79"/>
      <c r="U107" s="79"/>
      <c r="V107" s="48"/>
      <c r="W107" s="48"/>
      <c r="X107" s="48"/>
      <c r="Y107" s="48"/>
      <c r="Z107" s="75"/>
      <c r="AA107" s="89"/>
      <c r="AB107" s="72"/>
      <c r="AC107" s="72"/>
      <c r="AD107" s="75"/>
      <c r="AE107" s="75"/>
      <c r="AF107" s="48"/>
      <c r="AG107" s="72"/>
      <c r="AH107" s="72"/>
      <c r="AI107" s="72"/>
      <c r="AJ107" s="72"/>
      <c r="AK107" s="72"/>
      <c r="AL107" s="72"/>
      <c r="AM107" s="72"/>
      <c r="AN107" s="75"/>
      <c r="AO107" s="75"/>
      <c r="AP107" s="75"/>
      <c r="AQ107" s="75"/>
      <c r="AR107" s="75"/>
      <c r="AS107" s="75"/>
      <c r="AT107" s="75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133"/>
      <c r="BL107" s="48"/>
      <c r="BM107" s="275"/>
      <c r="BN107" s="275"/>
      <c r="BO107" s="275"/>
      <c r="BP107" s="275"/>
      <c r="BQ107" s="275"/>
      <c r="BR107" s="275"/>
      <c r="BS107" s="275"/>
      <c r="BT107" s="275"/>
      <c r="BU107" s="275"/>
      <c r="BV107" s="275"/>
      <c r="BW107" s="275"/>
      <c r="BX107" s="275"/>
      <c r="BY107" s="275"/>
      <c r="BZ107" s="275"/>
      <c r="CA107" s="275"/>
      <c r="CB107" s="275"/>
      <c r="CC107" s="275"/>
      <c r="CD107" s="275"/>
      <c r="CE107" s="275"/>
    </row>
    <row r="108" spans="1:83" s="134" customFormat="1" ht="18" x14ac:dyDescent="0.3">
      <c r="A108" s="275"/>
      <c r="B108" s="238"/>
      <c r="C108" s="128" t="s">
        <v>295</v>
      </c>
      <c r="D108" s="129" t="s">
        <v>224</v>
      </c>
      <c r="E108" s="235"/>
      <c r="F108" s="233"/>
      <c r="G108" s="233"/>
      <c r="H108" s="233"/>
      <c r="I108" s="233" t="s">
        <v>6</v>
      </c>
      <c r="J108" s="233" t="s">
        <v>6</v>
      </c>
      <c r="K108" s="233" t="s">
        <v>6</v>
      </c>
      <c r="L108" s="125" t="s">
        <v>7</v>
      </c>
      <c r="M108" s="130" t="s">
        <v>7</v>
      </c>
      <c r="N108" s="247" t="s">
        <v>7</v>
      </c>
      <c r="O108" s="131"/>
      <c r="P108" s="222" t="s">
        <v>6</v>
      </c>
      <c r="Q108" s="132">
        <f t="shared" si="6"/>
        <v>0</v>
      </c>
      <c r="R108" s="79"/>
      <c r="S108" s="79"/>
      <c r="T108" s="79"/>
      <c r="U108" s="79"/>
      <c r="V108" s="48"/>
      <c r="W108" s="48"/>
      <c r="X108" s="48"/>
      <c r="Y108" s="48"/>
      <c r="Z108" s="75"/>
      <c r="AA108" s="89"/>
      <c r="AB108" s="72"/>
      <c r="AC108" s="72"/>
      <c r="AD108" s="75"/>
      <c r="AE108" s="75"/>
      <c r="AF108" s="48"/>
      <c r="AG108" s="72"/>
      <c r="AH108" s="72"/>
      <c r="AI108" s="72"/>
      <c r="AJ108" s="72"/>
      <c r="AK108" s="72"/>
      <c r="AL108" s="72"/>
      <c r="AM108" s="72"/>
      <c r="AN108" s="75"/>
      <c r="AO108" s="75"/>
      <c r="AP108" s="75"/>
      <c r="AQ108" s="75"/>
      <c r="AR108" s="75"/>
      <c r="AS108" s="75"/>
      <c r="AT108" s="75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133"/>
      <c r="BL108" s="48"/>
      <c r="BM108" s="275"/>
      <c r="BN108" s="275"/>
      <c r="BO108" s="275"/>
      <c r="BP108" s="275"/>
      <c r="BQ108" s="275"/>
      <c r="BR108" s="275"/>
      <c r="BS108" s="275"/>
      <c r="BT108" s="275"/>
      <c r="BU108" s="275"/>
      <c r="BV108" s="275"/>
      <c r="BW108" s="275"/>
      <c r="BX108" s="275"/>
      <c r="BY108" s="275"/>
      <c r="BZ108" s="275"/>
      <c r="CA108" s="275"/>
      <c r="CB108" s="275"/>
      <c r="CC108" s="275"/>
      <c r="CD108" s="275"/>
      <c r="CE108" s="275"/>
    </row>
    <row r="109" spans="1:83" s="134" customFormat="1" ht="18" x14ac:dyDescent="0.3">
      <c r="A109" s="275"/>
      <c r="B109" s="238"/>
      <c r="C109" s="128" t="s">
        <v>318</v>
      </c>
      <c r="D109" s="129" t="s">
        <v>247</v>
      </c>
      <c r="E109" s="235"/>
      <c r="F109" s="233"/>
      <c r="G109" s="233"/>
      <c r="H109" s="233"/>
      <c r="I109" s="233" t="s">
        <v>6</v>
      </c>
      <c r="J109" s="233" t="s">
        <v>6</v>
      </c>
      <c r="K109" s="233" t="s">
        <v>6</v>
      </c>
      <c r="L109" s="125" t="s">
        <v>7</v>
      </c>
      <c r="M109" s="130" t="s">
        <v>7</v>
      </c>
      <c r="N109" s="247" t="s">
        <v>7</v>
      </c>
      <c r="O109" s="131"/>
      <c r="P109" s="222" t="s">
        <v>6</v>
      </c>
      <c r="Q109" s="132">
        <f t="shared" si="6"/>
        <v>0</v>
      </c>
      <c r="R109" s="79"/>
      <c r="S109" s="79"/>
      <c r="T109" s="79"/>
      <c r="U109" s="79"/>
      <c r="V109" s="48"/>
      <c r="W109" s="48"/>
      <c r="X109" s="48"/>
      <c r="Y109" s="48"/>
      <c r="Z109" s="75"/>
      <c r="AA109" s="89"/>
      <c r="AB109" s="72"/>
      <c r="AC109" s="72"/>
      <c r="AD109" s="75"/>
      <c r="AE109" s="75"/>
      <c r="AF109" s="48"/>
      <c r="AG109" s="72"/>
      <c r="AH109" s="72"/>
      <c r="AI109" s="72"/>
      <c r="AJ109" s="72"/>
      <c r="AK109" s="72"/>
      <c r="AL109" s="72"/>
      <c r="AM109" s="72"/>
      <c r="AN109" s="75"/>
      <c r="AO109" s="75"/>
      <c r="AP109" s="75"/>
      <c r="AQ109" s="75"/>
      <c r="AR109" s="75"/>
      <c r="AS109" s="75"/>
      <c r="AT109" s="75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133"/>
      <c r="BL109" s="48"/>
      <c r="BM109" s="275"/>
      <c r="BN109" s="275"/>
      <c r="BO109" s="275"/>
      <c r="BP109" s="275"/>
      <c r="BQ109" s="275"/>
      <c r="BR109" s="275"/>
      <c r="BS109" s="275"/>
      <c r="BT109" s="275"/>
      <c r="BU109" s="275"/>
      <c r="BV109" s="275"/>
      <c r="BW109" s="275"/>
      <c r="BX109" s="275"/>
      <c r="BY109" s="275"/>
      <c r="BZ109" s="275"/>
      <c r="CA109" s="275"/>
      <c r="CB109" s="275"/>
      <c r="CC109" s="275"/>
      <c r="CD109" s="275"/>
      <c r="CE109" s="275"/>
    </row>
    <row r="110" spans="1:83" s="134" customFormat="1" ht="18" x14ac:dyDescent="0.3">
      <c r="A110" s="275"/>
      <c r="B110" s="238"/>
      <c r="C110" s="128" t="s">
        <v>317</v>
      </c>
      <c r="D110" s="129" t="s">
        <v>247</v>
      </c>
      <c r="E110" s="235"/>
      <c r="F110" s="233"/>
      <c r="G110" s="233"/>
      <c r="H110" s="233"/>
      <c r="I110" s="233" t="s">
        <v>6</v>
      </c>
      <c r="J110" s="233" t="s">
        <v>6</v>
      </c>
      <c r="K110" s="233" t="s">
        <v>6</v>
      </c>
      <c r="L110" s="125" t="s">
        <v>7</v>
      </c>
      <c r="M110" s="130" t="s">
        <v>7</v>
      </c>
      <c r="N110" s="247" t="s">
        <v>7</v>
      </c>
      <c r="O110" s="131"/>
      <c r="P110" s="222" t="s">
        <v>6</v>
      </c>
      <c r="Q110" s="132">
        <f t="shared" si="6"/>
        <v>0</v>
      </c>
      <c r="R110" s="79"/>
      <c r="S110" s="79"/>
      <c r="T110" s="79"/>
      <c r="U110" s="79"/>
      <c r="V110" s="48"/>
      <c r="W110" s="48"/>
      <c r="X110" s="48"/>
      <c r="Y110" s="48"/>
      <c r="Z110" s="75"/>
      <c r="AA110" s="89"/>
      <c r="AB110" s="72"/>
      <c r="AC110" s="72"/>
      <c r="AD110" s="75"/>
      <c r="AE110" s="75"/>
      <c r="AF110" s="48"/>
      <c r="AG110" s="72"/>
      <c r="AH110" s="72"/>
      <c r="AI110" s="72"/>
      <c r="AJ110" s="72"/>
      <c r="AK110" s="72"/>
      <c r="AL110" s="72"/>
      <c r="AM110" s="72"/>
      <c r="AN110" s="75"/>
      <c r="AO110" s="75"/>
      <c r="AP110" s="75"/>
      <c r="AQ110" s="75"/>
      <c r="AR110" s="75"/>
      <c r="AS110" s="75"/>
      <c r="AT110" s="75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133"/>
      <c r="BL110" s="48"/>
      <c r="BM110" s="275"/>
      <c r="BN110" s="275"/>
      <c r="BO110" s="275"/>
      <c r="BP110" s="275"/>
      <c r="BQ110" s="275"/>
      <c r="BR110" s="275"/>
      <c r="BS110" s="275"/>
      <c r="BT110" s="275"/>
      <c r="BU110" s="275"/>
      <c r="BV110" s="275"/>
      <c r="BW110" s="275"/>
      <c r="BX110" s="275"/>
      <c r="BY110" s="275"/>
      <c r="BZ110" s="275"/>
      <c r="CA110" s="275"/>
      <c r="CB110" s="275"/>
      <c r="CC110" s="275"/>
      <c r="CD110" s="275"/>
      <c r="CE110" s="275"/>
    </row>
    <row r="111" spans="1:83" s="134" customFormat="1" ht="18" x14ac:dyDescent="0.3">
      <c r="A111" s="275"/>
      <c r="B111" s="238"/>
      <c r="C111" s="128" t="s">
        <v>334</v>
      </c>
      <c r="D111" s="129" t="s">
        <v>247</v>
      </c>
      <c r="E111" s="235"/>
      <c r="F111" s="233"/>
      <c r="G111" s="233"/>
      <c r="H111" s="233"/>
      <c r="I111" s="233" t="s">
        <v>6</v>
      </c>
      <c r="J111" s="233" t="s">
        <v>6</v>
      </c>
      <c r="K111" s="233" t="s">
        <v>6</v>
      </c>
      <c r="L111" s="125" t="s">
        <v>7</v>
      </c>
      <c r="M111" s="130" t="s">
        <v>7</v>
      </c>
      <c r="N111" s="247" t="s">
        <v>7</v>
      </c>
      <c r="O111" s="131"/>
      <c r="P111" s="222" t="s">
        <v>6</v>
      </c>
      <c r="Q111" s="132">
        <f t="shared" si="6"/>
        <v>0</v>
      </c>
      <c r="R111" s="79"/>
      <c r="S111" s="79"/>
      <c r="T111" s="79"/>
      <c r="U111" s="79"/>
      <c r="V111" s="48"/>
      <c r="W111" s="48"/>
      <c r="X111" s="48"/>
      <c r="Y111" s="48"/>
      <c r="Z111" s="75"/>
      <c r="AA111" s="89"/>
      <c r="AB111" s="72"/>
      <c r="AC111" s="72"/>
      <c r="AD111" s="75"/>
      <c r="AE111" s="75"/>
      <c r="AF111" s="48"/>
      <c r="AG111" s="72"/>
      <c r="AH111" s="72"/>
      <c r="AI111" s="72"/>
      <c r="AJ111" s="72"/>
      <c r="AK111" s="72"/>
      <c r="AL111" s="72"/>
      <c r="AM111" s="72"/>
      <c r="AN111" s="75"/>
      <c r="AO111" s="75"/>
      <c r="AP111" s="75"/>
      <c r="AQ111" s="75"/>
      <c r="AR111" s="75"/>
      <c r="AS111" s="75"/>
      <c r="AT111" s="75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133"/>
      <c r="BL111" s="48"/>
      <c r="BM111" s="275"/>
      <c r="BN111" s="275"/>
      <c r="BO111" s="275"/>
      <c r="BP111" s="275"/>
      <c r="BQ111" s="275"/>
      <c r="BR111" s="275"/>
      <c r="BS111" s="275"/>
      <c r="BT111" s="275"/>
      <c r="BU111" s="275"/>
      <c r="BV111" s="275"/>
      <c r="BW111" s="275"/>
      <c r="BX111" s="275"/>
      <c r="BY111" s="275"/>
      <c r="BZ111" s="275"/>
      <c r="CA111" s="275"/>
      <c r="CB111" s="275"/>
      <c r="CC111" s="275"/>
      <c r="CD111" s="275"/>
      <c r="CE111" s="275"/>
    </row>
    <row r="112" spans="1:83" s="134" customFormat="1" ht="18" x14ac:dyDescent="0.3">
      <c r="A112" s="275"/>
      <c r="B112" s="238"/>
      <c r="C112" s="240" t="s">
        <v>291</v>
      </c>
      <c r="D112" s="129" t="s">
        <v>290</v>
      </c>
      <c r="E112" s="235"/>
      <c r="F112" s="233"/>
      <c r="G112" s="233"/>
      <c r="H112" s="233"/>
      <c r="I112" s="233" t="s">
        <v>6</v>
      </c>
      <c r="J112" s="233" t="s">
        <v>6</v>
      </c>
      <c r="K112" s="233" t="s">
        <v>6</v>
      </c>
      <c r="L112" s="125" t="s">
        <v>7</v>
      </c>
      <c r="M112" s="130" t="s">
        <v>7</v>
      </c>
      <c r="N112" s="247" t="s">
        <v>7</v>
      </c>
      <c r="O112" s="131"/>
      <c r="P112" s="222" t="s">
        <v>6</v>
      </c>
      <c r="Q112" s="132">
        <f t="shared" si="6"/>
        <v>0</v>
      </c>
      <c r="R112" s="79"/>
      <c r="S112" s="79"/>
      <c r="T112" s="79"/>
      <c r="U112" s="79"/>
      <c r="V112" s="48"/>
      <c r="W112" s="48"/>
      <c r="X112" s="48"/>
      <c r="Y112" s="48"/>
      <c r="Z112" s="75"/>
      <c r="AA112" s="89"/>
      <c r="AB112" s="72"/>
      <c r="AC112" s="72"/>
      <c r="AD112" s="75"/>
      <c r="AE112" s="75"/>
      <c r="AF112" s="48"/>
      <c r="AG112" s="72"/>
      <c r="AH112" s="72"/>
      <c r="AI112" s="72"/>
      <c r="AJ112" s="72"/>
      <c r="AK112" s="72"/>
      <c r="AL112" s="72"/>
      <c r="AM112" s="72"/>
      <c r="AN112" s="75"/>
      <c r="AO112" s="75"/>
      <c r="AP112" s="75"/>
      <c r="AQ112" s="75"/>
      <c r="AR112" s="75"/>
      <c r="AS112" s="75"/>
      <c r="AT112" s="75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133"/>
      <c r="BL112" s="48"/>
      <c r="BM112" s="275"/>
      <c r="BN112" s="275"/>
      <c r="BO112" s="275"/>
      <c r="BP112" s="275"/>
      <c r="BQ112" s="275"/>
      <c r="BR112" s="275"/>
      <c r="BS112" s="275"/>
      <c r="BT112" s="275"/>
      <c r="BU112" s="275"/>
      <c r="BV112" s="275"/>
      <c r="BW112" s="275"/>
      <c r="BX112" s="275"/>
      <c r="BY112" s="275"/>
      <c r="BZ112" s="275"/>
      <c r="CA112" s="275"/>
      <c r="CB112" s="275"/>
      <c r="CC112" s="275"/>
      <c r="CD112" s="275"/>
      <c r="CE112" s="275"/>
    </row>
    <row r="113" spans="1:83" s="97" customFormat="1" ht="18" x14ac:dyDescent="0.25">
      <c r="A113" s="269"/>
      <c r="B113" s="238"/>
      <c r="C113" s="240" t="s">
        <v>336</v>
      </c>
      <c r="D113" s="241" t="s">
        <v>321</v>
      </c>
      <c r="E113" s="235"/>
      <c r="F113" s="233"/>
      <c r="G113" s="233"/>
      <c r="H113" s="233"/>
      <c r="I113" s="233" t="s">
        <v>6</v>
      </c>
      <c r="J113" s="233" t="s">
        <v>6</v>
      </c>
      <c r="K113" s="233" t="s">
        <v>6</v>
      </c>
      <c r="L113" s="125" t="s">
        <v>7</v>
      </c>
      <c r="M113" s="130" t="s">
        <v>7</v>
      </c>
      <c r="N113" s="247" t="s">
        <v>7</v>
      </c>
      <c r="O113" s="131"/>
      <c r="P113" s="220" t="s">
        <v>6</v>
      </c>
      <c r="Q113" s="79"/>
      <c r="R113" s="79"/>
      <c r="S113" s="79"/>
      <c r="T113" s="79"/>
      <c r="U113" s="79"/>
      <c r="V113" s="47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118"/>
      <c r="AH113" s="118"/>
      <c r="AI113" s="118"/>
      <c r="AJ113" s="79"/>
      <c r="AK113" s="118"/>
      <c r="AL113" s="118"/>
      <c r="AM113" s="118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89"/>
      <c r="BL113" s="79"/>
      <c r="BM113" s="269"/>
      <c r="BN113" s="269"/>
      <c r="BO113" s="269"/>
      <c r="BP113" s="269"/>
      <c r="BQ113" s="269"/>
      <c r="BR113" s="269"/>
      <c r="BS113" s="269"/>
      <c r="BT113" s="269"/>
      <c r="BU113" s="269"/>
      <c r="BV113" s="269"/>
      <c r="BW113" s="269"/>
      <c r="BX113" s="269"/>
      <c r="BY113" s="269"/>
      <c r="BZ113" s="269"/>
      <c r="CA113" s="269"/>
      <c r="CB113" s="269"/>
      <c r="CC113" s="269"/>
      <c r="CD113" s="269"/>
      <c r="CE113" s="269"/>
    </row>
    <row r="114" spans="1:83" s="97" customFormat="1" thickBot="1" x14ac:dyDescent="0.3">
      <c r="A114" s="269"/>
      <c r="B114" s="243"/>
      <c r="C114" s="136" t="s">
        <v>292</v>
      </c>
      <c r="D114" s="137" t="s">
        <v>263</v>
      </c>
      <c r="E114" s="236"/>
      <c r="F114" s="236"/>
      <c r="G114" s="236"/>
      <c r="H114" s="236"/>
      <c r="I114" s="236" t="s">
        <v>6</v>
      </c>
      <c r="J114" s="236" t="s">
        <v>6</v>
      </c>
      <c r="K114" s="236" t="s">
        <v>6</v>
      </c>
      <c r="L114" s="249" t="s">
        <v>7</v>
      </c>
      <c r="M114" s="250" t="s">
        <v>7</v>
      </c>
      <c r="N114" s="251" t="s">
        <v>7</v>
      </c>
      <c r="O114" s="135"/>
      <c r="P114" s="220" t="s">
        <v>6</v>
      </c>
      <c r="Q114" s="79"/>
      <c r="R114" s="79"/>
      <c r="S114" s="79"/>
      <c r="T114" s="79"/>
      <c r="U114" s="79"/>
      <c r="V114" s="47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118"/>
      <c r="AH114" s="118"/>
      <c r="AI114" s="118"/>
      <c r="AJ114" s="79"/>
      <c r="AK114" s="118"/>
      <c r="AL114" s="118"/>
      <c r="AM114" s="118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89"/>
      <c r="BL114" s="79"/>
      <c r="BM114" s="269"/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9"/>
      <c r="BY114" s="269"/>
      <c r="BZ114" s="269"/>
      <c r="CA114" s="269"/>
      <c r="CB114" s="269"/>
      <c r="CC114" s="269"/>
      <c r="CD114" s="269"/>
      <c r="CE114" s="269"/>
    </row>
    <row r="115" spans="1:83" s="2" customFormat="1" thickBot="1" x14ac:dyDescent="0.35">
      <c r="A115" s="262"/>
      <c r="B115" s="282"/>
      <c r="C115" s="262"/>
      <c r="D115" s="262"/>
      <c r="E115" s="294"/>
      <c r="F115" s="294"/>
      <c r="G115" s="294"/>
      <c r="H115" s="294"/>
      <c r="I115" s="294"/>
      <c r="J115" s="294"/>
      <c r="K115" s="294"/>
      <c r="L115" s="285"/>
      <c r="M115" s="286"/>
      <c r="N115" s="287"/>
      <c r="O115" s="296"/>
      <c r="P115" s="220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262"/>
      <c r="BN115" s="262"/>
      <c r="BO115" s="262"/>
      <c r="BP115" s="262"/>
      <c r="BQ115" s="262"/>
      <c r="BR115" s="262"/>
      <c r="BS115" s="262"/>
      <c r="BT115" s="262"/>
      <c r="BU115" s="262"/>
      <c r="BV115" s="262"/>
      <c r="BW115" s="262"/>
      <c r="BX115" s="262"/>
      <c r="BY115" s="262"/>
      <c r="BZ115" s="262"/>
      <c r="CA115" s="262"/>
      <c r="CB115" s="262"/>
      <c r="CC115" s="262"/>
      <c r="CD115" s="262"/>
      <c r="CE115" s="262"/>
    </row>
    <row r="116" spans="1:83" s="97" customFormat="1" ht="40.5" x14ac:dyDescent="0.25">
      <c r="A116" s="269"/>
      <c r="B116" s="403" t="s">
        <v>3</v>
      </c>
      <c r="C116" s="404" t="s">
        <v>309</v>
      </c>
      <c r="D116" s="338" t="s">
        <v>4</v>
      </c>
      <c r="E116" s="405" t="s">
        <v>18</v>
      </c>
      <c r="F116" s="405" t="str">
        <f t="shared" ref="F116:K116" si="7">F11</f>
        <v>Patrizierin</v>
      </c>
      <c r="G116" s="405" t="str">
        <f t="shared" si="7"/>
        <v>Einokrat</v>
      </c>
      <c r="H116" s="406" t="str">
        <f t="shared" si="7"/>
        <v>Signora</v>
      </c>
      <c r="I116" s="407" t="str">
        <f t="shared" si="7"/>
        <v>Archont</v>
      </c>
      <c r="J116" s="407" t="str">
        <f t="shared" si="7"/>
        <v>Comtess</v>
      </c>
      <c r="K116" s="407" t="str">
        <f t="shared" si="7"/>
        <v>Seekönig</v>
      </c>
      <c r="L116" s="408" t="s">
        <v>16</v>
      </c>
      <c r="M116" s="409" t="s">
        <v>5</v>
      </c>
      <c r="N116" s="410" t="s">
        <v>277</v>
      </c>
      <c r="O116" s="409" t="s">
        <v>107</v>
      </c>
      <c r="P116" s="221" t="s">
        <v>15</v>
      </c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86"/>
      <c r="AD116" s="79"/>
      <c r="AE116" s="79"/>
      <c r="AF116" s="79"/>
      <c r="AG116" s="118"/>
      <c r="AH116" s="118"/>
      <c r="AI116" s="118"/>
      <c r="AJ116" s="79"/>
      <c r="AK116" s="118"/>
      <c r="AL116" s="118"/>
      <c r="AM116" s="118"/>
      <c r="AN116" s="79"/>
      <c r="AO116" s="79"/>
      <c r="AP116" s="79"/>
      <c r="AQ116" s="79"/>
      <c r="AR116" s="79"/>
      <c r="AS116" s="79"/>
      <c r="AT116" s="79"/>
      <c r="AU116" s="79"/>
      <c r="AV116" s="86"/>
      <c r="AW116" s="86"/>
      <c r="AX116" s="79"/>
      <c r="AY116" s="79"/>
      <c r="AZ116" s="86"/>
      <c r="BA116" s="86"/>
      <c r="BB116" s="79"/>
      <c r="BC116" s="79"/>
      <c r="BD116" s="86"/>
      <c r="BE116" s="86"/>
      <c r="BF116" s="79"/>
      <c r="BG116" s="79"/>
      <c r="BH116" s="79"/>
      <c r="BI116" s="86"/>
      <c r="BJ116" s="86"/>
      <c r="BK116" s="89"/>
      <c r="BL116" s="7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  <c r="BY116" s="269"/>
      <c r="BZ116" s="269"/>
      <c r="CA116" s="269"/>
      <c r="CB116" s="269"/>
      <c r="CC116" s="269"/>
      <c r="CD116" s="269"/>
      <c r="CE116" s="269"/>
    </row>
    <row r="117" spans="1:83" s="112" customFormat="1" ht="18" collapsed="1" x14ac:dyDescent="0.25">
      <c r="A117" s="274"/>
      <c r="B117" s="237"/>
      <c r="C117" s="106" t="s">
        <v>278</v>
      </c>
      <c r="D117" s="107" t="s">
        <v>158</v>
      </c>
      <c r="E117" s="233"/>
      <c r="F117" s="233" t="s">
        <v>6</v>
      </c>
      <c r="G117" s="233" t="s">
        <v>6</v>
      </c>
      <c r="H117" s="233" t="s">
        <v>6</v>
      </c>
      <c r="I117" s="233" t="s">
        <v>6</v>
      </c>
      <c r="J117" s="233" t="s">
        <v>6</v>
      </c>
      <c r="K117" s="233" t="s">
        <v>6</v>
      </c>
      <c r="L117" s="125" t="s">
        <v>7</v>
      </c>
      <c r="M117" s="109">
        <v>19.989999999999998</v>
      </c>
      <c r="N117" s="247" t="s">
        <v>7</v>
      </c>
      <c r="O117" s="110" t="s">
        <v>8</v>
      </c>
      <c r="P117" s="220" t="s">
        <v>6</v>
      </c>
      <c r="Q117" s="79"/>
      <c r="R117" s="79"/>
      <c r="S117" s="79"/>
      <c r="T117" s="79"/>
      <c r="U117" s="79"/>
      <c r="V117" s="100"/>
      <c r="W117" s="100"/>
      <c r="X117" s="100"/>
      <c r="Y117" s="100"/>
      <c r="Z117" s="75"/>
      <c r="AA117" s="75"/>
      <c r="AB117" s="75"/>
      <c r="AC117" s="75"/>
      <c r="AD117" s="75"/>
      <c r="AE117" s="79"/>
      <c r="AF117" s="79"/>
      <c r="AG117" s="118"/>
      <c r="AH117" s="118"/>
      <c r="AI117" s="118"/>
      <c r="AJ117" s="100"/>
      <c r="AK117" s="100"/>
      <c r="AL117" s="100"/>
      <c r="AM117" s="100"/>
      <c r="AN117" s="75"/>
      <c r="AO117" s="75"/>
      <c r="AP117" s="75"/>
      <c r="AQ117" s="75"/>
      <c r="AR117" s="75"/>
      <c r="AS117" s="75"/>
      <c r="AT117" s="75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11"/>
      <c r="BL117" s="100"/>
      <c r="BM117" s="274"/>
      <c r="BN117" s="274"/>
      <c r="BO117" s="274"/>
      <c r="BP117" s="274"/>
      <c r="BQ117" s="274"/>
      <c r="BR117" s="274"/>
      <c r="BS117" s="274"/>
      <c r="BT117" s="274"/>
      <c r="BU117" s="274"/>
      <c r="BV117" s="274"/>
      <c r="BW117" s="274"/>
      <c r="BX117" s="274"/>
      <c r="BY117" s="274"/>
      <c r="BZ117" s="274"/>
      <c r="CA117" s="274"/>
      <c r="CB117" s="274"/>
      <c r="CC117" s="274"/>
      <c r="CD117" s="274"/>
      <c r="CE117" s="274"/>
    </row>
    <row r="118" spans="1:83" ht="18" x14ac:dyDescent="0.25">
      <c r="B118" s="237"/>
      <c r="C118" s="106" t="s">
        <v>279</v>
      </c>
      <c r="D118" s="107" t="s">
        <v>158</v>
      </c>
      <c r="E118" s="233"/>
      <c r="F118" s="233" t="s">
        <v>6</v>
      </c>
      <c r="G118" s="233"/>
      <c r="H118" s="233"/>
      <c r="I118" s="233" t="s">
        <v>6</v>
      </c>
      <c r="J118" s="233" t="s">
        <v>6</v>
      </c>
      <c r="K118" s="233" t="s">
        <v>6</v>
      </c>
      <c r="L118" s="125" t="s">
        <v>7</v>
      </c>
      <c r="M118" s="113">
        <v>6.99</v>
      </c>
      <c r="N118" s="247" t="s">
        <v>7</v>
      </c>
      <c r="O118" s="110" t="s">
        <v>8</v>
      </c>
      <c r="P118" s="220" t="s">
        <v>6</v>
      </c>
      <c r="Q118" s="79"/>
      <c r="R118" s="79"/>
      <c r="S118" s="79"/>
      <c r="T118" s="79"/>
      <c r="U118" s="79"/>
      <c r="Z118" s="75"/>
      <c r="AA118" s="75"/>
      <c r="AB118" s="75"/>
      <c r="AC118" s="75"/>
      <c r="AE118" s="79"/>
      <c r="AF118" s="79"/>
      <c r="AG118" s="118"/>
      <c r="AH118" s="118"/>
      <c r="AI118" s="118"/>
      <c r="AJ118" s="75"/>
      <c r="AK118" s="100"/>
      <c r="AV118" s="47"/>
      <c r="AW118" s="47"/>
      <c r="AZ118" s="47"/>
      <c r="BA118" s="47"/>
      <c r="BD118" s="47"/>
      <c r="BE118" s="47"/>
      <c r="BI118" s="47"/>
      <c r="BJ118" s="47"/>
    </row>
    <row r="119" spans="1:83" ht="18" x14ac:dyDescent="0.25">
      <c r="B119" s="237"/>
      <c r="C119" s="106" t="s">
        <v>280</v>
      </c>
      <c r="D119" s="107" t="s">
        <v>158</v>
      </c>
      <c r="E119" s="233"/>
      <c r="F119" s="233" t="s">
        <v>6</v>
      </c>
      <c r="G119" s="233"/>
      <c r="H119" s="233"/>
      <c r="I119" s="233" t="s">
        <v>6</v>
      </c>
      <c r="J119" s="233" t="s">
        <v>6</v>
      </c>
      <c r="K119" s="233" t="s">
        <v>6</v>
      </c>
      <c r="L119" s="125" t="s">
        <v>7</v>
      </c>
      <c r="M119" s="113">
        <v>7.99</v>
      </c>
      <c r="N119" s="247" t="s">
        <v>7</v>
      </c>
      <c r="O119" s="110" t="s">
        <v>8</v>
      </c>
      <c r="P119" s="220" t="s">
        <v>6</v>
      </c>
      <c r="Q119" s="79"/>
      <c r="R119" s="79"/>
      <c r="S119" s="79"/>
      <c r="T119" s="79"/>
      <c r="U119" s="79"/>
      <c r="Z119" s="75"/>
      <c r="AA119" s="75"/>
      <c r="AB119" s="75"/>
      <c r="AC119" s="75"/>
      <c r="AE119" s="79"/>
      <c r="AF119" s="79"/>
      <c r="AG119" s="118"/>
      <c r="AH119" s="118"/>
      <c r="AI119" s="118"/>
      <c r="AJ119" s="75"/>
      <c r="AK119" s="100"/>
      <c r="AV119" s="47"/>
      <c r="AW119" s="47"/>
      <c r="AZ119" s="47"/>
      <c r="BA119" s="47"/>
      <c r="BD119" s="47"/>
      <c r="BE119" s="47"/>
      <c r="BI119" s="47"/>
      <c r="BJ119" s="47"/>
    </row>
    <row r="120" spans="1:83" s="112" customFormat="1" ht="18" x14ac:dyDescent="0.25">
      <c r="A120" s="274"/>
      <c r="B120" s="237"/>
      <c r="C120" s="106" t="s">
        <v>282</v>
      </c>
      <c r="D120" s="107" t="s">
        <v>158</v>
      </c>
      <c r="E120" s="233"/>
      <c r="F120" s="233" t="s">
        <v>6</v>
      </c>
      <c r="G120" s="233"/>
      <c r="H120" s="233"/>
      <c r="I120" s="233" t="s">
        <v>6</v>
      </c>
      <c r="J120" s="233" t="s">
        <v>6</v>
      </c>
      <c r="K120" s="233" t="s">
        <v>6</v>
      </c>
      <c r="L120" s="125" t="s">
        <v>7</v>
      </c>
      <c r="M120" s="109">
        <v>6.49</v>
      </c>
      <c r="N120" s="247" t="s">
        <v>7</v>
      </c>
      <c r="O120" s="110" t="s">
        <v>8</v>
      </c>
      <c r="P120" s="220" t="s">
        <v>6</v>
      </c>
      <c r="Q120" s="79"/>
      <c r="R120" s="79"/>
      <c r="S120" s="79"/>
      <c r="T120" s="79"/>
      <c r="U120" s="79"/>
      <c r="V120" s="102"/>
      <c r="W120" s="100"/>
      <c r="X120" s="100"/>
      <c r="Y120" s="79"/>
      <c r="Z120" s="75"/>
      <c r="AA120" s="115"/>
      <c r="AB120" s="75"/>
      <c r="AC120" s="75"/>
      <c r="AD120" s="75"/>
      <c r="AE120" s="79"/>
      <c r="AF120" s="79"/>
      <c r="AG120" s="118"/>
      <c r="AH120" s="118"/>
      <c r="AI120" s="118"/>
      <c r="AJ120" s="100"/>
      <c r="AK120" s="100"/>
      <c r="AL120" s="100"/>
      <c r="AM120" s="100"/>
      <c r="AN120" s="75"/>
      <c r="AO120" s="75"/>
      <c r="AP120" s="75"/>
      <c r="AQ120" s="75"/>
      <c r="AR120" s="75"/>
      <c r="AS120" s="75"/>
      <c r="AT120" s="75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11"/>
      <c r="BL120" s="100"/>
      <c r="BM120" s="274"/>
      <c r="BN120" s="274"/>
      <c r="BO120" s="274"/>
      <c r="BP120" s="274"/>
      <c r="BQ120" s="274"/>
      <c r="BR120" s="274"/>
      <c r="BS120" s="274"/>
      <c r="BT120" s="274"/>
      <c r="BU120" s="274"/>
      <c r="BV120" s="274"/>
      <c r="BW120" s="274"/>
      <c r="BX120" s="274"/>
      <c r="BY120" s="274"/>
      <c r="BZ120" s="274"/>
      <c r="CA120" s="274"/>
      <c r="CB120" s="274"/>
      <c r="CC120" s="274"/>
      <c r="CD120" s="274"/>
      <c r="CE120" s="274"/>
    </row>
    <row r="121" spans="1:83" s="112" customFormat="1" ht="18" x14ac:dyDescent="0.25">
      <c r="A121" s="274"/>
      <c r="B121" s="237"/>
      <c r="C121" s="106" t="s">
        <v>284</v>
      </c>
      <c r="D121" s="107" t="s">
        <v>158</v>
      </c>
      <c r="E121" s="233"/>
      <c r="F121" s="233" t="s">
        <v>6</v>
      </c>
      <c r="G121" s="233"/>
      <c r="H121" s="233"/>
      <c r="I121" s="233" t="s">
        <v>6</v>
      </c>
      <c r="J121" s="233" t="s">
        <v>6</v>
      </c>
      <c r="K121" s="233" t="s">
        <v>6</v>
      </c>
      <c r="L121" s="125" t="s">
        <v>7</v>
      </c>
      <c r="M121" s="113">
        <v>2.99</v>
      </c>
      <c r="N121" s="247" t="s">
        <v>7</v>
      </c>
      <c r="O121" s="110" t="s">
        <v>8</v>
      </c>
      <c r="P121" s="220" t="s">
        <v>6</v>
      </c>
      <c r="Q121" s="115"/>
      <c r="R121" s="79"/>
      <c r="S121" s="79"/>
      <c r="T121" s="79"/>
      <c r="U121" s="79"/>
      <c r="V121" s="100"/>
      <c r="W121" s="100"/>
      <c r="X121" s="100"/>
      <c r="Y121" s="79"/>
      <c r="Z121" s="75"/>
      <c r="AA121" s="89"/>
      <c r="AB121" s="75"/>
      <c r="AC121" s="75"/>
      <c r="AD121" s="75"/>
      <c r="AE121" s="79"/>
      <c r="AF121" s="79"/>
      <c r="AG121" s="118"/>
      <c r="AH121" s="118"/>
      <c r="AI121" s="118"/>
      <c r="AJ121" s="100"/>
      <c r="AK121" s="100"/>
      <c r="AL121" s="100"/>
      <c r="AM121" s="100"/>
      <c r="AN121" s="75"/>
      <c r="AO121" s="75"/>
      <c r="AP121" s="75"/>
      <c r="AQ121" s="75"/>
      <c r="AR121" s="75"/>
      <c r="AS121" s="75"/>
      <c r="AT121" s="75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11"/>
      <c r="BL121" s="100"/>
      <c r="BM121" s="274"/>
      <c r="BN121" s="274"/>
      <c r="BO121" s="274"/>
      <c r="BP121" s="274"/>
      <c r="BQ121" s="274"/>
      <c r="BR121" s="274"/>
      <c r="BS121" s="274"/>
      <c r="BT121" s="274"/>
      <c r="BU121" s="274"/>
      <c r="BV121" s="274"/>
      <c r="BW121" s="274"/>
      <c r="BX121" s="274"/>
      <c r="BY121" s="274"/>
      <c r="BZ121" s="274"/>
      <c r="CA121" s="274"/>
      <c r="CB121" s="274"/>
      <c r="CC121" s="274"/>
      <c r="CD121" s="274"/>
      <c r="CE121" s="274"/>
    </row>
    <row r="122" spans="1:83" s="112" customFormat="1" ht="18" x14ac:dyDescent="0.25">
      <c r="A122" s="274"/>
      <c r="B122" s="237"/>
      <c r="C122" s="106" t="s">
        <v>293</v>
      </c>
      <c r="D122" s="107" t="s">
        <v>158</v>
      </c>
      <c r="E122" s="233"/>
      <c r="F122" s="233" t="s">
        <v>6</v>
      </c>
      <c r="G122" s="233"/>
      <c r="H122" s="233"/>
      <c r="I122" s="233" t="s">
        <v>6</v>
      </c>
      <c r="J122" s="233" t="s">
        <v>6</v>
      </c>
      <c r="K122" s="233" t="s">
        <v>6</v>
      </c>
      <c r="L122" s="125" t="s">
        <v>7</v>
      </c>
      <c r="M122" s="113">
        <v>7.99</v>
      </c>
      <c r="N122" s="247" t="s">
        <v>7</v>
      </c>
      <c r="O122" s="110" t="s">
        <v>8</v>
      </c>
      <c r="P122" s="220" t="s">
        <v>6</v>
      </c>
      <c r="Q122" s="115"/>
      <c r="R122" s="79"/>
      <c r="S122" s="79"/>
      <c r="T122" s="79"/>
      <c r="U122" s="79"/>
      <c r="V122" s="100"/>
      <c r="W122" s="100"/>
      <c r="X122" s="100"/>
      <c r="Y122" s="79"/>
      <c r="Z122" s="75"/>
      <c r="AA122" s="89"/>
      <c r="AB122" s="75"/>
      <c r="AC122" s="75"/>
      <c r="AD122" s="75"/>
      <c r="AE122" s="79"/>
      <c r="AF122" s="79"/>
      <c r="AG122" s="118"/>
      <c r="AH122" s="118"/>
      <c r="AI122" s="118"/>
      <c r="AJ122" s="100"/>
      <c r="AK122" s="100"/>
      <c r="AL122" s="100"/>
      <c r="AM122" s="100"/>
      <c r="AN122" s="75"/>
      <c r="AO122" s="75"/>
      <c r="AP122" s="75"/>
      <c r="AQ122" s="75"/>
      <c r="AR122" s="75"/>
      <c r="AS122" s="75"/>
      <c r="AT122" s="75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11"/>
      <c r="BL122" s="100"/>
      <c r="BM122" s="274"/>
      <c r="BN122" s="274"/>
      <c r="BO122" s="274"/>
      <c r="BP122" s="274"/>
      <c r="BQ122" s="274"/>
      <c r="BR122" s="274"/>
      <c r="BS122" s="274"/>
      <c r="BT122" s="274"/>
      <c r="BU122" s="274"/>
      <c r="BV122" s="274"/>
      <c r="BW122" s="274"/>
      <c r="BX122" s="274"/>
      <c r="BY122" s="274"/>
      <c r="BZ122" s="274"/>
      <c r="CA122" s="274"/>
      <c r="CB122" s="274"/>
      <c r="CC122" s="274"/>
      <c r="CD122" s="274"/>
      <c r="CE122" s="274"/>
    </row>
    <row r="123" spans="1:83" ht="18" x14ac:dyDescent="0.25">
      <c r="B123" s="237"/>
      <c r="C123" s="106" t="s">
        <v>303</v>
      </c>
      <c r="D123" s="107" t="s">
        <v>121</v>
      </c>
      <c r="E123" s="233"/>
      <c r="F123" s="233" t="s">
        <v>6</v>
      </c>
      <c r="G123" s="233" t="s">
        <v>6</v>
      </c>
      <c r="H123" s="233" t="s">
        <v>6</v>
      </c>
      <c r="I123" s="233" t="s">
        <v>6</v>
      </c>
      <c r="J123" s="233" t="s">
        <v>6</v>
      </c>
      <c r="K123" s="233" t="s">
        <v>6</v>
      </c>
      <c r="L123" s="125" t="s">
        <v>7</v>
      </c>
      <c r="M123" s="113">
        <v>7.49</v>
      </c>
      <c r="N123" s="247" t="s">
        <v>7</v>
      </c>
      <c r="O123" s="110" t="s">
        <v>8</v>
      </c>
      <c r="P123" s="220"/>
      <c r="Q123" s="115"/>
      <c r="R123" s="79"/>
      <c r="S123" s="79"/>
      <c r="T123" s="79"/>
      <c r="U123" s="79"/>
      <c r="Y123" s="118"/>
      <c r="Z123" s="119"/>
      <c r="AA123" s="89"/>
      <c r="AB123" s="67"/>
      <c r="AC123" s="67"/>
      <c r="AD123" s="75"/>
      <c r="AE123" s="75"/>
      <c r="AJ123" s="67"/>
      <c r="AN123" s="75"/>
      <c r="AO123" s="75"/>
      <c r="AP123" s="75"/>
      <c r="AQ123" s="75"/>
      <c r="AR123" s="75"/>
      <c r="AS123" s="75"/>
      <c r="AT123" s="75"/>
      <c r="AV123" s="47"/>
      <c r="AW123" s="47"/>
      <c r="AZ123" s="47"/>
      <c r="BA123" s="47"/>
      <c r="BD123" s="47"/>
      <c r="BE123" s="47"/>
      <c r="BI123" s="47"/>
      <c r="BJ123" s="47"/>
    </row>
    <row r="124" spans="1:83" s="112" customFormat="1" ht="18" x14ac:dyDescent="0.25">
      <c r="A124" s="274"/>
      <c r="B124" s="237"/>
      <c r="C124" s="106" t="s">
        <v>281</v>
      </c>
      <c r="D124" s="107" t="s">
        <v>158</v>
      </c>
      <c r="E124" s="233"/>
      <c r="F124" s="233" t="s">
        <v>6</v>
      </c>
      <c r="G124" s="233"/>
      <c r="H124" s="233"/>
      <c r="I124" s="233"/>
      <c r="J124" s="233"/>
      <c r="K124" s="233" t="s">
        <v>6</v>
      </c>
      <c r="L124" s="125" t="s">
        <v>7</v>
      </c>
      <c r="M124" s="109">
        <v>5.99</v>
      </c>
      <c r="N124" s="247" t="s">
        <v>7</v>
      </c>
      <c r="O124" s="110" t="s">
        <v>8</v>
      </c>
      <c r="P124" s="220" t="s">
        <v>6</v>
      </c>
      <c r="Q124" s="79"/>
      <c r="R124" s="79"/>
      <c r="S124" s="79"/>
      <c r="T124" s="79"/>
      <c r="U124" s="79"/>
      <c r="V124" s="100"/>
      <c r="W124" s="100"/>
      <c r="X124" s="100"/>
      <c r="Y124" s="120"/>
      <c r="Z124" s="75"/>
      <c r="AA124" s="75"/>
      <c r="AB124" s="75"/>
      <c r="AC124" s="75"/>
      <c r="AD124" s="75"/>
      <c r="AE124" s="79"/>
      <c r="AF124" s="79"/>
      <c r="AG124" s="118"/>
      <c r="AH124" s="118"/>
      <c r="AI124" s="118"/>
      <c r="AJ124" s="100"/>
      <c r="AK124" s="100"/>
      <c r="AL124" s="100"/>
      <c r="AM124" s="100"/>
      <c r="AN124" s="75"/>
      <c r="AO124" s="75"/>
      <c r="AP124" s="75"/>
      <c r="AQ124" s="75"/>
      <c r="AR124" s="75"/>
      <c r="AS124" s="75"/>
      <c r="AT124" s="75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11"/>
      <c r="BL124" s="100"/>
      <c r="BM124" s="274"/>
      <c r="BN124" s="274"/>
      <c r="BO124" s="274"/>
      <c r="BP124" s="274"/>
      <c r="BQ124" s="274"/>
      <c r="BR124" s="274"/>
      <c r="BS124" s="274"/>
      <c r="BT124" s="274"/>
      <c r="BU124" s="274"/>
      <c r="BV124" s="274"/>
      <c r="BW124" s="274"/>
      <c r="BX124" s="274"/>
      <c r="BY124" s="274"/>
      <c r="BZ124" s="274"/>
      <c r="CA124" s="274"/>
      <c r="CB124" s="274"/>
      <c r="CC124" s="274"/>
      <c r="CD124" s="274"/>
      <c r="CE124" s="274"/>
    </row>
    <row r="125" spans="1:83" ht="18" x14ac:dyDescent="0.25">
      <c r="B125" s="237"/>
      <c r="C125" s="106" t="s">
        <v>285</v>
      </c>
      <c r="D125" s="107" t="s">
        <v>158</v>
      </c>
      <c r="E125" s="233"/>
      <c r="F125" s="233" t="s">
        <v>6</v>
      </c>
      <c r="G125" s="233"/>
      <c r="H125" s="233"/>
      <c r="I125" s="233"/>
      <c r="J125" s="233"/>
      <c r="K125" s="233" t="s">
        <v>6</v>
      </c>
      <c r="L125" s="125" t="s">
        <v>7</v>
      </c>
      <c r="M125" s="113">
        <v>4.99</v>
      </c>
      <c r="N125" s="247" t="s">
        <v>7</v>
      </c>
      <c r="O125" s="110" t="s">
        <v>8</v>
      </c>
      <c r="P125" s="220" t="s">
        <v>6</v>
      </c>
      <c r="Q125" s="115"/>
      <c r="R125" s="79"/>
      <c r="S125" s="79"/>
      <c r="T125" s="79"/>
      <c r="U125" s="79"/>
      <c r="X125" s="121"/>
      <c r="Y125" s="122"/>
      <c r="Z125" s="75"/>
      <c r="AA125" s="123"/>
      <c r="AB125" s="75"/>
      <c r="AC125" s="75"/>
      <c r="AD125" s="75"/>
      <c r="AE125" s="75"/>
      <c r="AF125" s="75"/>
      <c r="AG125" s="75"/>
      <c r="AH125" s="75"/>
      <c r="AI125" s="75"/>
      <c r="AJ125" s="75"/>
      <c r="AK125" s="47"/>
      <c r="AL125" s="47"/>
      <c r="AM125" s="47"/>
      <c r="AN125" s="75"/>
      <c r="AO125" s="75"/>
      <c r="AP125" s="75"/>
      <c r="AQ125" s="75"/>
      <c r="AR125" s="75"/>
      <c r="AS125" s="75"/>
      <c r="AT125" s="75"/>
      <c r="AV125" s="47"/>
      <c r="AW125" s="47"/>
      <c r="AZ125" s="47"/>
      <c r="BA125" s="47"/>
      <c r="BD125" s="47"/>
      <c r="BE125" s="47"/>
      <c r="BI125" s="47"/>
      <c r="BJ125" s="47"/>
    </row>
    <row r="126" spans="1:83" s="97" customFormat="1" ht="18" x14ac:dyDescent="0.25">
      <c r="A126" s="269"/>
      <c r="B126" s="237"/>
      <c r="C126" s="106" t="s">
        <v>283</v>
      </c>
      <c r="D126" s="107" t="s">
        <v>158</v>
      </c>
      <c r="E126" s="233"/>
      <c r="F126" s="233" t="s">
        <v>6</v>
      </c>
      <c r="G126" s="233"/>
      <c r="H126" s="233"/>
      <c r="I126" s="233"/>
      <c r="J126" s="233"/>
      <c r="K126" s="233" t="s">
        <v>6</v>
      </c>
      <c r="L126" s="125" t="s">
        <v>7</v>
      </c>
      <c r="M126" s="113">
        <v>7.99</v>
      </c>
      <c r="N126" s="247" t="s">
        <v>7</v>
      </c>
      <c r="O126" s="110" t="s">
        <v>8</v>
      </c>
      <c r="P126" s="220" t="s">
        <v>6</v>
      </c>
      <c r="Q126" s="115"/>
      <c r="R126" s="79"/>
      <c r="S126" s="79"/>
      <c r="T126" s="79"/>
      <c r="U126" s="79"/>
      <c r="V126" s="103"/>
      <c r="W126" s="79"/>
      <c r="X126" s="79"/>
      <c r="Y126" s="118"/>
      <c r="Z126" s="119"/>
      <c r="AA126" s="89"/>
      <c r="AB126" s="75"/>
      <c r="AC126" s="75"/>
      <c r="AD126" s="75"/>
      <c r="AE126" s="79"/>
      <c r="AF126" s="79"/>
      <c r="AG126" s="118"/>
      <c r="AH126" s="118"/>
      <c r="AI126" s="118"/>
      <c r="AJ126" s="79"/>
      <c r="AK126" s="79"/>
      <c r="AL126" s="79"/>
      <c r="AM126" s="79"/>
      <c r="AN126" s="75"/>
      <c r="AO126" s="75"/>
      <c r="AP126" s="75"/>
      <c r="AQ126" s="75"/>
      <c r="AR126" s="75"/>
      <c r="AS126" s="75"/>
      <c r="AT126" s="75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89"/>
      <c r="BL126" s="79"/>
      <c r="BM126" s="269"/>
      <c r="BN126" s="269"/>
      <c r="BO126" s="269"/>
      <c r="BP126" s="269"/>
      <c r="BQ126" s="269"/>
      <c r="BR126" s="269"/>
      <c r="BS126" s="269"/>
      <c r="BT126" s="269"/>
      <c r="BU126" s="269"/>
      <c r="BV126" s="269"/>
      <c r="BW126" s="269"/>
      <c r="BX126" s="269"/>
      <c r="BY126" s="269"/>
      <c r="BZ126" s="269"/>
      <c r="CA126" s="269"/>
      <c r="CB126" s="269"/>
      <c r="CC126" s="269"/>
      <c r="CD126" s="269"/>
      <c r="CE126" s="269"/>
    </row>
    <row r="127" spans="1:83" ht="18" x14ac:dyDescent="0.25">
      <c r="B127" s="237"/>
      <c r="C127" s="106" t="s">
        <v>287</v>
      </c>
      <c r="D127" s="107" t="s">
        <v>158</v>
      </c>
      <c r="E127" s="233"/>
      <c r="F127" s="233"/>
      <c r="G127" s="233"/>
      <c r="H127" s="233"/>
      <c r="I127" s="233"/>
      <c r="J127" s="233"/>
      <c r="K127" s="233" t="s">
        <v>6</v>
      </c>
      <c r="L127" s="125" t="s">
        <v>7</v>
      </c>
      <c r="M127" s="113">
        <v>4.99</v>
      </c>
      <c r="N127" s="247" t="s">
        <v>7</v>
      </c>
      <c r="O127" s="110" t="s">
        <v>8</v>
      </c>
      <c r="P127" s="220" t="s">
        <v>6</v>
      </c>
      <c r="Q127" s="115"/>
      <c r="R127" s="79"/>
      <c r="S127" s="79"/>
      <c r="T127" s="79"/>
      <c r="U127" s="79"/>
      <c r="Z127" s="75"/>
      <c r="AA127" s="89"/>
      <c r="AB127" s="67"/>
      <c r="AC127" s="67"/>
      <c r="AD127" s="75"/>
      <c r="AE127" s="75"/>
      <c r="AJ127" s="67"/>
      <c r="AN127" s="75"/>
      <c r="AO127" s="75"/>
      <c r="AP127" s="75"/>
      <c r="AQ127" s="75"/>
      <c r="AR127" s="75"/>
      <c r="AS127" s="75"/>
      <c r="AT127" s="75"/>
      <c r="AV127" s="47"/>
      <c r="AW127" s="47"/>
      <c r="AZ127" s="47"/>
      <c r="BA127" s="47"/>
      <c r="BD127" s="47"/>
      <c r="BE127" s="47"/>
      <c r="BI127" s="47"/>
      <c r="BJ127" s="47"/>
    </row>
    <row r="128" spans="1:83" ht="18" x14ac:dyDescent="0.25">
      <c r="B128" s="237"/>
      <c r="C128" s="106" t="s">
        <v>288</v>
      </c>
      <c r="D128" s="107" t="s">
        <v>158</v>
      </c>
      <c r="E128" s="233"/>
      <c r="F128" s="233"/>
      <c r="G128" s="233"/>
      <c r="H128" s="233"/>
      <c r="I128" s="233"/>
      <c r="J128" s="233"/>
      <c r="K128" s="233" t="s">
        <v>6</v>
      </c>
      <c r="L128" s="125" t="s">
        <v>7</v>
      </c>
      <c r="M128" s="113">
        <v>4.99</v>
      </c>
      <c r="N128" s="247" t="s">
        <v>7</v>
      </c>
      <c r="O128" s="110" t="s">
        <v>8</v>
      </c>
      <c r="P128" s="220" t="s">
        <v>6</v>
      </c>
      <c r="Q128" s="115"/>
      <c r="R128" s="79"/>
      <c r="S128" s="79"/>
      <c r="T128" s="79"/>
      <c r="U128" s="79"/>
      <c r="Z128" s="75"/>
      <c r="AA128" s="89"/>
      <c r="AB128" s="67"/>
      <c r="AC128" s="67"/>
      <c r="AD128" s="75"/>
      <c r="AE128" s="75"/>
      <c r="AJ128" s="67"/>
      <c r="AN128" s="75"/>
      <c r="AO128" s="75"/>
      <c r="AP128" s="75"/>
      <c r="AQ128" s="75"/>
      <c r="AR128" s="75"/>
      <c r="AS128" s="75"/>
      <c r="AT128" s="75"/>
      <c r="AV128" s="47"/>
      <c r="AW128" s="47"/>
      <c r="AZ128" s="47"/>
      <c r="BA128" s="47"/>
      <c r="BD128" s="47"/>
      <c r="BE128" s="47"/>
      <c r="BI128" s="47"/>
      <c r="BJ128" s="47"/>
    </row>
    <row r="129" spans="1:83" ht="18" x14ac:dyDescent="0.25">
      <c r="B129" s="237"/>
      <c r="C129" s="106" t="s">
        <v>289</v>
      </c>
      <c r="D129" s="107" t="s">
        <v>343</v>
      </c>
      <c r="E129" s="233"/>
      <c r="F129" s="233"/>
      <c r="G129" s="233"/>
      <c r="H129" s="233"/>
      <c r="I129" s="233"/>
      <c r="J129" s="233"/>
      <c r="K129" s="233" t="s">
        <v>6</v>
      </c>
      <c r="L129" s="125" t="s">
        <v>7</v>
      </c>
      <c r="M129" s="113">
        <v>7.49</v>
      </c>
      <c r="N129" s="247" t="s">
        <v>7</v>
      </c>
      <c r="O129" s="110" t="s">
        <v>8</v>
      </c>
      <c r="P129" s="220" t="s">
        <v>6</v>
      </c>
      <c r="Q129" s="115"/>
      <c r="R129" s="79"/>
      <c r="S129" s="79"/>
      <c r="T129" s="79"/>
      <c r="U129" s="79"/>
      <c r="Y129" s="118"/>
      <c r="Z129" s="119"/>
      <c r="AA129" s="89"/>
      <c r="AB129" s="67"/>
      <c r="AC129" s="67"/>
      <c r="AD129" s="75"/>
      <c r="AE129" s="75"/>
      <c r="AJ129" s="67"/>
      <c r="AN129" s="75"/>
      <c r="AO129" s="75"/>
      <c r="AP129" s="75"/>
      <c r="AQ129" s="75"/>
      <c r="AR129" s="75"/>
      <c r="AS129" s="75"/>
      <c r="AT129" s="75"/>
      <c r="AV129" s="47"/>
      <c r="AW129" s="47"/>
      <c r="AZ129" s="47"/>
      <c r="BA129" s="47"/>
      <c r="BD129" s="47"/>
      <c r="BE129" s="47"/>
      <c r="BI129" s="47"/>
      <c r="BJ129" s="47"/>
    </row>
    <row r="130" spans="1:83" ht="18" x14ac:dyDescent="0.25">
      <c r="B130" s="237"/>
      <c r="C130" s="106" t="s">
        <v>230</v>
      </c>
      <c r="D130" s="107" t="s">
        <v>231</v>
      </c>
      <c r="E130" s="233"/>
      <c r="F130" s="233"/>
      <c r="G130" s="233"/>
      <c r="H130" s="233"/>
      <c r="I130" s="233"/>
      <c r="J130" s="233"/>
      <c r="K130" s="233"/>
      <c r="L130" s="117">
        <v>15</v>
      </c>
      <c r="M130" s="113">
        <v>17.95</v>
      </c>
      <c r="N130" s="247" t="s">
        <v>7</v>
      </c>
      <c r="O130" s="114" t="s">
        <v>251</v>
      </c>
      <c r="P130" s="220" t="s">
        <v>6</v>
      </c>
      <c r="Q130" s="115">
        <f t="shared" ref="Q130:Q131" si="8">AA130</f>
        <v>0</v>
      </c>
      <c r="R130" s="79"/>
      <c r="S130" s="79"/>
      <c r="T130" s="79"/>
      <c r="U130" s="79"/>
      <c r="Y130" s="79"/>
      <c r="Z130" s="75"/>
      <c r="AA130" s="89"/>
      <c r="AB130" s="67"/>
      <c r="AC130" s="67"/>
      <c r="AD130" s="75"/>
      <c r="AE130" s="75"/>
      <c r="AJ130" s="67"/>
      <c r="AN130" s="75"/>
      <c r="AO130" s="75"/>
      <c r="AP130" s="75"/>
      <c r="AQ130" s="75"/>
      <c r="AR130" s="75"/>
      <c r="AS130" s="75"/>
      <c r="AT130" s="75"/>
      <c r="AV130" s="47"/>
      <c r="AW130" s="47"/>
      <c r="AZ130" s="47"/>
      <c r="BA130" s="47"/>
      <c r="BD130" s="47"/>
      <c r="BE130" s="47"/>
      <c r="BI130" s="47"/>
      <c r="BJ130" s="47"/>
    </row>
    <row r="131" spans="1:83" ht="18" x14ac:dyDescent="0.25">
      <c r="B131" s="237"/>
      <c r="C131" s="106" t="s">
        <v>232</v>
      </c>
      <c r="D131" s="107" t="s">
        <v>231</v>
      </c>
      <c r="E131" s="233"/>
      <c r="F131" s="233"/>
      <c r="G131" s="233"/>
      <c r="H131" s="233"/>
      <c r="I131" s="233"/>
      <c r="J131" s="233"/>
      <c r="K131" s="233"/>
      <c r="L131" s="117">
        <v>12</v>
      </c>
      <c r="M131" s="113">
        <v>14.95</v>
      </c>
      <c r="N131" s="247" t="s">
        <v>7</v>
      </c>
      <c r="O131" s="114" t="s">
        <v>251</v>
      </c>
      <c r="P131" s="220" t="s">
        <v>6</v>
      </c>
      <c r="Q131" s="115">
        <f t="shared" si="8"/>
        <v>0</v>
      </c>
      <c r="R131" s="79"/>
      <c r="S131" s="79"/>
      <c r="T131" s="79"/>
      <c r="U131" s="79"/>
      <c r="Y131" s="118"/>
      <c r="Z131" s="119"/>
      <c r="AA131" s="89"/>
      <c r="AB131" s="67"/>
      <c r="AC131" s="67"/>
      <c r="AD131" s="75"/>
      <c r="AE131" s="75"/>
      <c r="AJ131" s="67"/>
      <c r="AN131" s="75"/>
      <c r="AO131" s="75"/>
      <c r="AP131" s="75"/>
      <c r="AQ131" s="75"/>
      <c r="AR131" s="75"/>
      <c r="AS131" s="75"/>
      <c r="AT131" s="75"/>
      <c r="AV131" s="47"/>
      <c r="AW131" s="47"/>
      <c r="AZ131" s="47"/>
      <c r="BA131" s="47"/>
      <c r="BD131" s="47"/>
      <c r="BE131" s="47"/>
      <c r="BI131" s="47"/>
      <c r="BJ131" s="47"/>
    </row>
    <row r="132" spans="1:83" ht="18" x14ac:dyDescent="0.25">
      <c r="B132" s="349"/>
      <c r="C132" s="350" t="s">
        <v>307</v>
      </c>
      <c r="D132" s="400" t="s">
        <v>268</v>
      </c>
      <c r="E132" s="397" t="s">
        <v>6</v>
      </c>
      <c r="F132" s="397" t="s">
        <v>6</v>
      </c>
      <c r="G132" s="393" t="s">
        <v>6</v>
      </c>
      <c r="H132" s="393" t="s">
        <v>6</v>
      </c>
      <c r="I132" s="393" t="s">
        <v>6</v>
      </c>
      <c r="J132" s="393" t="s">
        <v>6</v>
      </c>
      <c r="K132" s="393" t="s">
        <v>6</v>
      </c>
      <c r="L132" s="398" t="s">
        <v>7</v>
      </c>
      <c r="M132" s="395" t="s">
        <v>7</v>
      </c>
      <c r="N132" s="396" t="s">
        <v>7</v>
      </c>
      <c r="O132" s="425" t="s">
        <v>327</v>
      </c>
      <c r="P132" s="220"/>
      <c r="Q132" s="115"/>
      <c r="R132" s="79"/>
      <c r="S132" s="79"/>
      <c r="T132" s="79"/>
      <c r="U132" s="79"/>
      <c r="Y132" s="118"/>
      <c r="Z132" s="119"/>
      <c r="AA132" s="89"/>
      <c r="AB132" s="67"/>
      <c r="AC132" s="67"/>
      <c r="AD132" s="75"/>
      <c r="AE132" s="75"/>
      <c r="AJ132" s="67"/>
      <c r="AN132" s="75"/>
      <c r="AO132" s="75"/>
      <c r="AP132" s="75"/>
      <c r="AQ132" s="75"/>
      <c r="AR132" s="75"/>
      <c r="AS132" s="75"/>
      <c r="AT132" s="75"/>
      <c r="AV132" s="47"/>
      <c r="AW132" s="47"/>
      <c r="AZ132" s="47"/>
      <c r="BA132" s="47"/>
      <c r="BD132" s="47"/>
      <c r="BE132" s="47"/>
      <c r="BI132" s="47"/>
      <c r="BJ132" s="47"/>
    </row>
    <row r="133" spans="1:83" s="134" customFormat="1" ht="18" x14ac:dyDescent="0.3">
      <c r="A133" s="275"/>
      <c r="B133" s="237"/>
      <c r="C133" s="124" t="s">
        <v>304</v>
      </c>
      <c r="D133" s="129" t="s">
        <v>305</v>
      </c>
      <c r="E133" s="235"/>
      <c r="F133" s="233" t="s">
        <v>6</v>
      </c>
      <c r="G133" s="233" t="s">
        <v>6</v>
      </c>
      <c r="H133" s="233" t="s">
        <v>6</v>
      </c>
      <c r="I133" s="233" t="s">
        <v>6</v>
      </c>
      <c r="J133" s="233" t="s">
        <v>6</v>
      </c>
      <c r="K133" s="233" t="s">
        <v>6</v>
      </c>
      <c r="L133" s="108" t="s">
        <v>7</v>
      </c>
      <c r="M133" s="113" t="s">
        <v>7</v>
      </c>
      <c r="N133" s="246" t="s">
        <v>7</v>
      </c>
      <c r="O133" s="114"/>
      <c r="P133" s="222" t="s">
        <v>6</v>
      </c>
      <c r="Q133" s="132">
        <f>AA133</f>
        <v>0</v>
      </c>
      <c r="R133" s="79"/>
      <c r="S133" s="79"/>
      <c r="T133" s="79"/>
      <c r="U133" s="79"/>
      <c r="V133" s="48"/>
      <c r="W133" s="48"/>
      <c r="X133" s="48"/>
      <c r="Y133" s="48"/>
      <c r="Z133" s="75"/>
      <c r="AA133" s="89"/>
      <c r="AB133" s="72"/>
      <c r="AC133" s="72"/>
      <c r="AD133" s="75"/>
      <c r="AE133" s="75"/>
      <c r="AF133" s="48"/>
      <c r="AG133" s="72"/>
      <c r="AH133" s="72"/>
      <c r="AI133" s="72"/>
      <c r="AJ133" s="72"/>
      <c r="AK133" s="72"/>
      <c r="AL133" s="72"/>
      <c r="AM133" s="72"/>
      <c r="AN133" s="75"/>
      <c r="AO133" s="75"/>
      <c r="AP133" s="75"/>
      <c r="AQ133" s="75"/>
      <c r="AR133" s="75"/>
      <c r="AS133" s="75"/>
      <c r="AT133" s="75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133"/>
      <c r="BL133" s="48"/>
      <c r="BM133" s="275"/>
      <c r="BN133" s="275"/>
      <c r="BO133" s="275"/>
      <c r="BP133" s="275"/>
      <c r="BQ133" s="275"/>
      <c r="BR133" s="275"/>
      <c r="BS133" s="275"/>
      <c r="BT133" s="275"/>
      <c r="BU133" s="275"/>
      <c r="BV133" s="275"/>
      <c r="BW133" s="275"/>
      <c r="BX133" s="275"/>
      <c r="BY133" s="275"/>
      <c r="BZ133" s="275"/>
      <c r="CA133" s="275"/>
      <c r="CB133" s="275"/>
      <c r="CC133" s="275"/>
      <c r="CD133" s="275"/>
      <c r="CE133" s="275"/>
    </row>
    <row r="134" spans="1:83" s="134" customFormat="1" ht="18" x14ac:dyDescent="0.3">
      <c r="A134" s="275"/>
      <c r="B134" s="237"/>
      <c r="C134" s="124" t="s">
        <v>236</v>
      </c>
      <c r="D134" s="129" t="s">
        <v>158</v>
      </c>
      <c r="E134" s="235"/>
      <c r="F134" s="233" t="s">
        <v>6</v>
      </c>
      <c r="G134" s="233" t="s">
        <v>6</v>
      </c>
      <c r="H134" s="233" t="s">
        <v>6</v>
      </c>
      <c r="I134" s="233" t="s">
        <v>6</v>
      </c>
      <c r="J134" s="233" t="s">
        <v>6</v>
      </c>
      <c r="K134" s="233" t="s">
        <v>6</v>
      </c>
      <c r="L134" s="108" t="s">
        <v>7</v>
      </c>
      <c r="M134" s="113">
        <v>12.99</v>
      </c>
      <c r="N134" s="246" t="s">
        <v>7</v>
      </c>
      <c r="O134" s="114" t="s">
        <v>8</v>
      </c>
      <c r="P134" s="222" t="s">
        <v>6</v>
      </c>
      <c r="Q134" s="132"/>
      <c r="R134" s="79"/>
      <c r="S134" s="79"/>
      <c r="T134" s="79"/>
      <c r="U134" s="79"/>
      <c r="V134" s="48"/>
      <c r="W134" s="48"/>
      <c r="X134" s="48"/>
      <c r="Y134" s="48"/>
      <c r="Z134" s="75"/>
      <c r="AA134" s="89"/>
      <c r="AB134" s="72"/>
      <c r="AC134" s="72"/>
      <c r="AD134" s="75"/>
      <c r="AE134" s="75"/>
      <c r="AF134" s="48"/>
      <c r="AG134" s="72"/>
      <c r="AH134" s="72"/>
      <c r="AI134" s="72"/>
      <c r="AJ134" s="72"/>
      <c r="AK134" s="72"/>
      <c r="AL134" s="72"/>
      <c r="AM134" s="72"/>
      <c r="AN134" s="75"/>
      <c r="AO134" s="75"/>
      <c r="AP134" s="75"/>
      <c r="AQ134" s="75"/>
      <c r="AR134" s="75"/>
      <c r="AS134" s="75"/>
      <c r="AT134" s="75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133"/>
      <c r="BL134" s="48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</row>
    <row r="135" spans="1:83" s="134" customFormat="1" ht="18" x14ac:dyDescent="0.3">
      <c r="A135" s="275"/>
      <c r="B135" s="238"/>
      <c r="C135" s="128" t="s">
        <v>266</v>
      </c>
      <c r="D135" s="241" t="s">
        <v>158</v>
      </c>
      <c r="E135" s="242"/>
      <c r="F135" s="242" t="s">
        <v>6</v>
      </c>
      <c r="G135" s="242" t="s">
        <v>6</v>
      </c>
      <c r="H135" s="242" t="s">
        <v>6</v>
      </c>
      <c r="I135" s="242" t="s">
        <v>6</v>
      </c>
      <c r="J135" s="242" t="s">
        <v>6</v>
      </c>
      <c r="K135" s="242" t="s">
        <v>6</v>
      </c>
      <c r="L135" s="125" t="s">
        <v>7</v>
      </c>
      <c r="M135" s="130" t="s">
        <v>7</v>
      </c>
      <c r="N135" s="247" t="s">
        <v>7</v>
      </c>
      <c r="O135" s="131"/>
      <c r="P135" s="222"/>
      <c r="Q135" s="132"/>
      <c r="R135" s="79"/>
      <c r="S135" s="79"/>
      <c r="T135" s="79"/>
      <c r="U135" s="79"/>
      <c r="V135" s="48"/>
      <c r="W135" s="48"/>
      <c r="X135" s="48"/>
      <c r="Y135" s="48"/>
      <c r="Z135" s="75"/>
      <c r="AA135" s="89"/>
      <c r="AB135" s="72"/>
      <c r="AC135" s="72"/>
      <c r="AD135" s="75"/>
      <c r="AE135" s="75"/>
      <c r="AF135" s="48"/>
      <c r="AG135" s="72"/>
      <c r="AH135" s="72"/>
      <c r="AI135" s="72"/>
      <c r="AJ135" s="72"/>
      <c r="AK135" s="72"/>
      <c r="AL135" s="72"/>
      <c r="AM135" s="72"/>
      <c r="AN135" s="75"/>
      <c r="AO135" s="75"/>
      <c r="AP135" s="75"/>
      <c r="AQ135" s="75"/>
      <c r="AR135" s="75"/>
      <c r="AS135" s="75"/>
      <c r="AT135" s="75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133"/>
      <c r="BL135" s="48"/>
      <c r="BM135" s="275"/>
      <c r="BN135" s="275"/>
      <c r="BO135" s="275"/>
      <c r="BP135" s="275"/>
      <c r="BQ135" s="275"/>
      <c r="BR135" s="275"/>
      <c r="BS135" s="275"/>
      <c r="BT135" s="275"/>
      <c r="BU135" s="275"/>
      <c r="BV135" s="275"/>
      <c r="BW135" s="275"/>
      <c r="BX135" s="275"/>
      <c r="BY135" s="275"/>
      <c r="BZ135" s="275"/>
      <c r="CA135" s="275"/>
      <c r="CB135" s="275"/>
      <c r="CC135" s="275"/>
      <c r="CD135" s="275"/>
      <c r="CE135" s="275"/>
    </row>
    <row r="136" spans="1:83" s="97" customFormat="1" ht="18" x14ac:dyDescent="0.25">
      <c r="A136" s="269"/>
      <c r="B136" s="238"/>
      <c r="C136" s="128" t="s">
        <v>294</v>
      </c>
      <c r="D136" s="241" t="s">
        <v>158</v>
      </c>
      <c r="E136" s="242"/>
      <c r="F136" s="242" t="s">
        <v>6</v>
      </c>
      <c r="G136" s="242" t="s">
        <v>6</v>
      </c>
      <c r="H136" s="242" t="s">
        <v>6</v>
      </c>
      <c r="I136" s="242" t="s">
        <v>6</v>
      </c>
      <c r="J136" s="242" t="s">
        <v>6</v>
      </c>
      <c r="K136" s="242" t="s">
        <v>6</v>
      </c>
      <c r="L136" s="125" t="s">
        <v>7</v>
      </c>
      <c r="M136" s="130" t="s">
        <v>7</v>
      </c>
      <c r="N136" s="247" t="s">
        <v>7</v>
      </c>
      <c r="O136" s="131"/>
      <c r="P136" s="220" t="s">
        <v>6</v>
      </c>
      <c r="Q136" s="79"/>
      <c r="R136" s="79"/>
      <c r="S136" s="79"/>
      <c r="T136" s="79"/>
      <c r="U136" s="79"/>
      <c r="V136" s="47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118"/>
      <c r="AH136" s="118"/>
      <c r="AI136" s="118"/>
      <c r="AJ136" s="79"/>
      <c r="AK136" s="118"/>
      <c r="AL136" s="118"/>
      <c r="AM136" s="118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89"/>
      <c r="BL136" s="79"/>
      <c r="BM136" s="269"/>
      <c r="BN136" s="269"/>
      <c r="BO136" s="269"/>
      <c r="BP136" s="269"/>
      <c r="BQ136" s="269"/>
      <c r="BR136" s="269"/>
      <c r="BS136" s="269"/>
      <c r="BT136" s="269"/>
      <c r="BU136" s="269"/>
      <c r="BV136" s="269"/>
      <c r="BW136" s="269"/>
      <c r="BX136" s="269"/>
      <c r="BY136" s="269"/>
      <c r="BZ136" s="269"/>
      <c r="CA136" s="269"/>
      <c r="CB136" s="269"/>
      <c r="CC136" s="269"/>
      <c r="CD136" s="269"/>
      <c r="CE136" s="269"/>
    </row>
    <row r="137" spans="1:83" s="97" customFormat="1" ht="18" x14ac:dyDescent="0.25">
      <c r="A137" s="269"/>
      <c r="B137" s="238"/>
      <c r="C137" s="240" t="s">
        <v>270</v>
      </c>
      <c r="D137" s="241" t="s">
        <v>158</v>
      </c>
      <c r="E137" s="242"/>
      <c r="F137" s="242" t="s">
        <v>6</v>
      </c>
      <c r="G137" s="242" t="s">
        <v>6</v>
      </c>
      <c r="H137" s="242" t="s">
        <v>6</v>
      </c>
      <c r="I137" s="242" t="s">
        <v>6</v>
      </c>
      <c r="J137" s="242" t="s">
        <v>6</v>
      </c>
      <c r="K137" s="242" t="s">
        <v>6</v>
      </c>
      <c r="L137" s="125" t="s">
        <v>7</v>
      </c>
      <c r="M137" s="130" t="s">
        <v>7</v>
      </c>
      <c r="N137" s="247" t="s">
        <v>7</v>
      </c>
      <c r="O137" s="131"/>
      <c r="P137" s="220" t="s">
        <v>6</v>
      </c>
      <c r="Q137" s="79"/>
      <c r="R137" s="79"/>
      <c r="S137" s="79"/>
      <c r="T137" s="79"/>
      <c r="U137" s="79"/>
      <c r="V137" s="47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118"/>
      <c r="AH137" s="118"/>
      <c r="AI137" s="118"/>
      <c r="AJ137" s="79"/>
      <c r="AK137" s="118"/>
      <c r="AL137" s="118"/>
      <c r="AM137" s="118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89"/>
      <c r="BL137" s="79"/>
      <c r="BM137" s="269"/>
      <c r="BN137" s="269"/>
      <c r="BO137" s="269"/>
      <c r="BP137" s="269"/>
      <c r="BQ137" s="269"/>
      <c r="BR137" s="269"/>
      <c r="BS137" s="269"/>
      <c r="BT137" s="269"/>
      <c r="BU137" s="269"/>
      <c r="BV137" s="269"/>
      <c r="BW137" s="269"/>
      <c r="BX137" s="269"/>
      <c r="BY137" s="269"/>
      <c r="BZ137" s="269"/>
      <c r="CA137" s="269"/>
      <c r="CB137" s="269"/>
      <c r="CC137" s="269"/>
      <c r="CD137" s="269"/>
      <c r="CE137" s="269"/>
    </row>
    <row r="138" spans="1:83" s="97" customFormat="1" ht="18" x14ac:dyDescent="0.25">
      <c r="A138" s="269"/>
      <c r="B138" s="238"/>
      <c r="C138" s="240" t="s">
        <v>271</v>
      </c>
      <c r="D138" s="241" t="s">
        <v>158</v>
      </c>
      <c r="E138" s="242"/>
      <c r="F138" s="242" t="s">
        <v>6</v>
      </c>
      <c r="G138" s="242" t="s">
        <v>6</v>
      </c>
      <c r="H138" s="242" t="s">
        <v>6</v>
      </c>
      <c r="I138" s="242" t="s">
        <v>6</v>
      </c>
      <c r="J138" s="242" t="s">
        <v>6</v>
      </c>
      <c r="K138" s="242" t="s">
        <v>6</v>
      </c>
      <c r="L138" s="125" t="s">
        <v>7</v>
      </c>
      <c r="M138" s="130" t="s">
        <v>7</v>
      </c>
      <c r="N138" s="247" t="s">
        <v>7</v>
      </c>
      <c r="O138" s="131"/>
      <c r="P138" s="220" t="s">
        <v>6</v>
      </c>
      <c r="Q138" s="79"/>
      <c r="R138" s="79"/>
      <c r="S138" s="79"/>
      <c r="T138" s="79"/>
      <c r="U138" s="79"/>
      <c r="V138" s="47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118"/>
      <c r="AH138" s="118"/>
      <c r="AI138" s="118"/>
      <c r="AJ138" s="79"/>
      <c r="AK138" s="118"/>
      <c r="AL138" s="118"/>
      <c r="AM138" s="118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89"/>
      <c r="BL138" s="7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9"/>
      <c r="BY138" s="269"/>
      <c r="BZ138" s="269"/>
      <c r="CA138" s="269"/>
      <c r="CB138" s="269"/>
      <c r="CC138" s="269"/>
      <c r="CD138" s="269"/>
      <c r="CE138" s="269"/>
    </row>
    <row r="139" spans="1:83" s="97" customFormat="1" ht="18" x14ac:dyDescent="0.25">
      <c r="A139" s="269"/>
      <c r="B139" s="238"/>
      <c r="C139" s="240" t="s">
        <v>272</v>
      </c>
      <c r="D139" s="241" t="s">
        <v>158</v>
      </c>
      <c r="E139" s="242"/>
      <c r="F139" s="242" t="s">
        <v>6</v>
      </c>
      <c r="G139" s="242" t="s">
        <v>6</v>
      </c>
      <c r="H139" s="242" t="s">
        <v>6</v>
      </c>
      <c r="I139" s="242" t="s">
        <v>6</v>
      </c>
      <c r="J139" s="242" t="s">
        <v>6</v>
      </c>
      <c r="K139" s="242" t="s">
        <v>6</v>
      </c>
      <c r="L139" s="125" t="s">
        <v>7</v>
      </c>
      <c r="M139" s="130" t="s">
        <v>7</v>
      </c>
      <c r="N139" s="247" t="s">
        <v>7</v>
      </c>
      <c r="O139" s="131"/>
      <c r="P139" s="220" t="s">
        <v>6</v>
      </c>
      <c r="Q139" s="79"/>
      <c r="R139" s="79"/>
      <c r="S139" s="79"/>
      <c r="T139" s="79"/>
      <c r="U139" s="79"/>
      <c r="V139" s="47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118"/>
      <c r="AH139" s="118"/>
      <c r="AI139" s="118"/>
      <c r="AJ139" s="79"/>
      <c r="AK139" s="118"/>
      <c r="AL139" s="118"/>
      <c r="AM139" s="118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89"/>
      <c r="BL139" s="79"/>
      <c r="BM139" s="269"/>
      <c r="BN139" s="269"/>
      <c r="BO139" s="269"/>
      <c r="BP139" s="269"/>
      <c r="BQ139" s="269"/>
      <c r="BR139" s="269"/>
      <c r="BS139" s="269"/>
      <c r="BT139" s="269"/>
      <c r="BU139" s="269"/>
      <c r="BV139" s="269"/>
      <c r="BW139" s="269"/>
      <c r="BX139" s="269"/>
      <c r="BY139" s="269"/>
      <c r="BZ139" s="269"/>
      <c r="CA139" s="269"/>
      <c r="CB139" s="269"/>
      <c r="CC139" s="269"/>
      <c r="CD139" s="269"/>
      <c r="CE139" s="269"/>
    </row>
    <row r="140" spans="1:83" s="97" customFormat="1" ht="18" x14ac:dyDescent="0.25">
      <c r="A140" s="269"/>
      <c r="B140" s="238"/>
      <c r="C140" s="240" t="s">
        <v>273</v>
      </c>
      <c r="D140" s="241" t="s">
        <v>158</v>
      </c>
      <c r="E140" s="242"/>
      <c r="F140" s="242" t="s">
        <v>6</v>
      </c>
      <c r="G140" s="242" t="s">
        <v>6</v>
      </c>
      <c r="H140" s="242" t="s">
        <v>6</v>
      </c>
      <c r="I140" s="242" t="s">
        <v>6</v>
      </c>
      <c r="J140" s="242" t="s">
        <v>6</v>
      </c>
      <c r="K140" s="242" t="s">
        <v>6</v>
      </c>
      <c r="L140" s="125" t="s">
        <v>7</v>
      </c>
      <c r="M140" s="130" t="s">
        <v>7</v>
      </c>
      <c r="N140" s="247" t="s">
        <v>7</v>
      </c>
      <c r="O140" s="131"/>
      <c r="P140" s="220" t="s">
        <v>6</v>
      </c>
      <c r="Q140" s="79"/>
      <c r="R140" s="79"/>
      <c r="S140" s="79"/>
      <c r="T140" s="79"/>
      <c r="U140" s="79"/>
      <c r="V140" s="47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118"/>
      <c r="AH140" s="118"/>
      <c r="AI140" s="118"/>
      <c r="AJ140" s="79"/>
      <c r="AK140" s="118"/>
      <c r="AL140" s="118"/>
      <c r="AM140" s="118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89"/>
      <c r="BL140" s="79"/>
      <c r="BM140" s="269"/>
      <c r="BN140" s="269"/>
      <c r="BO140" s="269"/>
      <c r="BP140" s="269"/>
      <c r="BQ140" s="269"/>
      <c r="BR140" s="269"/>
      <c r="BS140" s="269"/>
      <c r="BT140" s="269"/>
      <c r="BU140" s="269"/>
      <c r="BV140" s="269"/>
      <c r="BW140" s="269"/>
      <c r="BX140" s="269"/>
      <c r="BY140" s="269"/>
      <c r="BZ140" s="269"/>
      <c r="CA140" s="269"/>
      <c r="CB140" s="269"/>
      <c r="CC140" s="269"/>
      <c r="CD140" s="269"/>
      <c r="CE140" s="269"/>
    </row>
    <row r="141" spans="1:83" s="97" customFormat="1" ht="18" x14ac:dyDescent="0.25">
      <c r="A141" s="269"/>
      <c r="B141" s="238"/>
      <c r="C141" s="240" t="s">
        <v>274</v>
      </c>
      <c r="D141" s="241" t="s">
        <v>158</v>
      </c>
      <c r="E141" s="242"/>
      <c r="F141" s="242" t="s">
        <v>6</v>
      </c>
      <c r="G141" s="242" t="s">
        <v>6</v>
      </c>
      <c r="H141" s="242" t="s">
        <v>6</v>
      </c>
      <c r="I141" s="242" t="s">
        <v>6</v>
      </c>
      <c r="J141" s="242" t="s">
        <v>6</v>
      </c>
      <c r="K141" s="242" t="s">
        <v>6</v>
      </c>
      <c r="L141" s="125" t="s">
        <v>7</v>
      </c>
      <c r="M141" s="130" t="s">
        <v>7</v>
      </c>
      <c r="N141" s="247" t="s">
        <v>7</v>
      </c>
      <c r="O141" s="131"/>
      <c r="P141" s="220" t="s">
        <v>6</v>
      </c>
      <c r="Q141" s="79"/>
      <c r="R141" s="79"/>
      <c r="S141" s="79"/>
      <c r="T141" s="79"/>
      <c r="U141" s="79"/>
      <c r="V141" s="47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118"/>
      <c r="AH141" s="118"/>
      <c r="AI141" s="118"/>
      <c r="AJ141" s="79"/>
      <c r="AK141" s="118"/>
      <c r="AL141" s="118"/>
      <c r="AM141" s="118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89"/>
      <c r="BL141" s="79"/>
      <c r="BM141" s="269"/>
      <c r="BN141" s="269"/>
      <c r="BO141" s="269"/>
      <c r="BP141" s="269"/>
      <c r="BQ141" s="269"/>
      <c r="BR141" s="269"/>
      <c r="BS141" s="269"/>
      <c r="BT141" s="269"/>
      <c r="BU141" s="269"/>
      <c r="BV141" s="269"/>
      <c r="BW141" s="269"/>
      <c r="BX141" s="269"/>
      <c r="BY141" s="269"/>
      <c r="BZ141" s="269"/>
      <c r="CA141" s="269"/>
      <c r="CB141" s="269"/>
      <c r="CC141" s="269"/>
      <c r="CD141" s="269"/>
      <c r="CE141" s="269"/>
    </row>
    <row r="142" spans="1:83" s="97" customFormat="1" ht="18" x14ac:dyDescent="0.25">
      <c r="A142" s="269"/>
      <c r="B142" s="238"/>
      <c r="C142" s="240" t="s">
        <v>320</v>
      </c>
      <c r="D142" s="241" t="s">
        <v>158</v>
      </c>
      <c r="E142" s="242"/>
      <c r="F142" s="242" t="s">
        <v>6</v>
      </c>
      <c r="G142" s="242" t="s">
        <v>6</v>
      </c>
      <c r="H142" s="242" t="s">
        <v>6</v>
      </c>
      <c r="I142" s="242" t="s">
        <v>6</v>
      </c>
      <c r="J142" s="242" t="s">
        <v>6</v>
      </c>
      <c r="K142" s="242" t="s">
        <v>6</v>
      </c>
      <c r="L142" s="125" t="s">
        <v>7</v>
      </c>
      <c r="M142" s="130" t="s">
        <v>7</v>
      </c>
      <c r="N142" s="247" t="s">
        <v>7</v>
      </c>
      <c r="O142" s="131"/>
      <c r="P142" s="220" t="s">
        <v>6</v>
      </c>
      <c r="Q142" s="79"/>
      <c r="R142" s="79"/>
      <c r="S142" s="79"/>
      <c r="T142" s="79"/>
      <c r="U142" s="79"/>
      <c r="V142" s="47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118"/>
      <c r="AH142" s="118"/>
      <c r="AI142" s="118"/>
      <c r="AJ142" s="79"/>
      <c r="AK142" s="118"/>
      <c r="AL142" s="118"/>
      <c r="AM142" s="118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89"/>
      <c r="BL142" s="79"/>
      <c r="BM142" s="269"/>
      <c r="BN142" s="269"/>
      <c r="BO142" s="269"/>
      <c r="BP142" s="269"/>
      <c r="BQ142" s="269"/>
      <c r="BR142" s="269"/>
      <c r="BS142" s="269"/>
      <c r="BT142" s="269"/>
      <c r="BU142" s="269"/>
      <c r="BV142" s="269"/>
      <c r="BW142" s="269"/>
      <c r="BX142" s="269"/>
      <c r="BY142" s="269"/>
      <c r="BZ142" s="269"/>
      <c r="CA142" s="269"/>
      <c r="CB142" s="269"/>
      <c r="CC142" s="269"/>
      <c r="CD142" s="269"/>
      <c r="CE142" s="269"/>
    </row>
    <row r="143" spans="1:83" s="97" customFormat="1" ht="18" x14ac:dyDescent="0.25">
      <c r="A143" s="269"/>
      <c r="B143" s="238"/>
      <c r="C143" s="240" t="s">
        <v>275</v>
      </c>
      <c r="D143" s="241" t="s">
        <v>158</v>
      </c>
      <c r="E143" s="242"/>
      <c r="F143" s="242" t="s">
        <v>6</v>
      </c>
      <c r="G143" s="242" t="s">
        <v>6</v>
      </c>
      <c r="H143" s="242" t="s">
        <v>6</v>
      </c>
      <c r="I143" s="242" t="s">
        <v>6</v>
      </c>
      <c r="J143" s="242" t="s">
        <v>6</v>
      </c>
      <c r="K143" s="242" t="s">
        <v>6</v>
      </c>
      <c r="L143" s="125" t="s">
        <v>7</v>
      </c>
      <c r="M143" s="130" t="s">
        <v>7</v>
      </c>
      <c r="N143" s="247" t="s">
        <v>7</v>
      </c>
      <c r="O143" s="131"/>
      <c r="P143" s="220" t="s">
        <v>6</v>
      </c>
      <c r="Q143" s="79"/>
      <c r="R143" s="79"/>
      <c r="S143" s="79"/>
      <c r="T143" s="79"/>
      <c r="U143" s="79"/>
      <c r="V143" s="47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118"/>
      <c r="AH143" s="118"/>
      <c r="AI143" s="118"/>
      <c r="AJ143" s="79"/>
      <c r="AK143" s="118"/>
      <c r="AL143" s="118"/>
      <c r="AM143" s="118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89"/>
      <c r="BL143" s="79"/>
      <c r="BM143" s="269"/>
      <c r="BN143" s="269"/>
      <c r="BO143" s="269"/>
      <c r="BP143" s="269"/>
      <c r="BQ143" s="269"/>
      <c r="BR143" s="269"/>
      <c r="BS143" s="269"/>
      <c r="BT143" s="269"/>
      <c r="BU143" s="269"/>
      <c r="BV143" s="269"/>
      <c r="BW143" s="269"/>
      <c r="BX143" s="269"/>
      <c r="BY143" s="269"/>
      <c r="BZ143" s="269"/>
      <c r="CA143" s="269"/>
      <c r="CB143" s="269"/>
      <c r="CC143" s="269"/>
      <c r="CD143" s="269"/>
      <c r="CE143" s="269"/>
    </row>
    <row r="144" spans="1:83" s="134" customFormat="1" ht="18" x14ac:dyDescent="0.3">
      <c r="A144" s="275"/>
      <c r="B144" s="238"/>
      <c r="C144" s="128" t="s">
        <v>319</v>
      </c>
      <c r="D144" s="241" t="s">
        <v>158</v>
      </c>
      <c r="E144" s="242"/>
      <c r="F144" s="242" t="s">
        <v>6</v>
      </c>
      <c r="G144" s="242" t="s">
        <v>6</v>
      </c>
      <c r="H144" s="242" t="s">
        <v>6</v>
      </c>
      <c r="I144" s="242" t="s">
        <v>6</v>
      </c>
      <c r="J144" s="242" t="s">
        <v>6</v>
      </c>
      <c r="K144" s="242" t="s">
        <v>6</v>
      </c>
      <c r="L144" s="125" t="s">
        <v>7</v>
      </c>
      <c r="M144" s="130" t="s">
        <v>7</v>
      </c>
      <c r="N144" s="247" t="s">
        <v>7</v>
      </c>
      <c r="O144" s="131"/>
      <c r="P144" s="222"/>
      <c r="Q144" s="132"/>
      <c r="R144" s="79"/>
      <c r="S144" s="79"/>
      <c r="T144" s="79"/>
      <c r="U144" s="79"/>
      <c r="V144" s="48"/>
      <c r="W144" s="48"/>
      <c r="X144" s="48"/>
      <c r="Y144" s="48"/>
      <c r="Z144" s="75"/>
      <c r="AA144" s="89"/>
      <c r="AB144" s="72"/>
      <c r="AC144" s="72"/>
      <c r="AD144" s="75"/>
      <c r="AE144" s="75"/>
      <c r="AF144" s="48"/>
      <c r="AG144" s="72"/>
      <c r="AH144" s="72"/>
      <c r="AI144" s="72"/>
      <c r="AJ144" s="72"/>
      <c r="AK144" s="72"/>
      <c r="AL144" s="72"/>
      <c r="AM144" s="72"/>
      <c r="AN144" s="75"/>
      <c r="AO144" s="75"/>
      <c r="AP144" s="75"/>
      <c r="AQ144" s="75"/>
      <c r="AR144" s="75"/>
      <c r="AS144" s="75"/>
      <c r="AT144" s="75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133"/>
      <c r="BL144" s="48"/>
      <c r="BM144" s="275"/>
      <c r="BN144" s="275"/>
      <c r="BO144" s="275"/>
      <c r="BP144" s="275"/>
      <c r="BQ144" s="275"/>
      <c r="BR144" s="275"/>
      <c r="BS144" s="275"/>
      <c r="BT144" s="275"/>
      <c r="BU144" s="275"/>
      <c r="BV144" s="275"/>
      <c r="BW144" s="275"/>
      <c r="BX144" s="275"/>
      <c r="BY144" s="275"/>
      <c r="BZ144" s="275"/>
      <c r="CA144" s="275"/>
      <c r="CB144" s="275"/>
      <c r="CC144" s="275"/>
      <c r="CD144" s="275"/>
      <c r="CE144" s="275"/>
    </row>
    <row r="145" spans="1:83" s="97" customFormat="1" ht="18" x14ac:dyDescent="0.25">
      <c r="A145" s="269"/>
      <c r="B145" s="238"/>
      <c r="C145" s="128" t="s">
        <v>295</v>
      </c>
      <c r="D145" s="241" t="s">
        <v>158</v>
      </c>
      <c r="E145" s="242"/>
      <c r="F145" s="242" t="s">
        <v>6</v>
      </c>
      <c r="G145" s="242" t="s">
        <v>6</v>
      </c>
      <c r="H145" s="242" t="s">
        <v>6</v>
      </c>
      <c r="I145" s="242" t="s">
        <v>6</v>
      </c>
      <c r="J145" s="242" t="s">
        <v>6</v>
      </c>
      <c r="K145" s="242" t="s">
        <v>6</v>
      </c>
      <c r="L145" s="125" t="s">
        <v>7</v>
      </c>
      <c r="M145" s="130" t="s">
        <v>7</v>
      </c>
      <c r="N145" s="247" t="s">
        <v>7</v>
      </c>
      <c r="O145" s="131" t="s">
        <v>297</v>
      </c>
      <c r="P145" s="220" t="s">
        <v>6</v>
      </c>
      <c r="Q145" s="79"/>
      <c r="R145" s="79"/>
      <c r="S145" s="79"/>
      <c r="T145" s="79"/>
      <c r="U145" s="79"/>
      <c r="V145" s="47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118"/>
      <c r="AH145" s="118"/>
      <c r="AI145" s="118"/>
      <c r="AJ145" s="79"/>
      <c r="AK145" s="118"/>
      <c r="AL145" s="118"/>
      <c r="AM145" s="118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89"/>
      <c r="BL145" s="79"/>
      <c r="BM145" s="269"/>
      <c r="BN145" s="269"/>
      <c r="BO145" s="269"/>
      <c r="BP145" s="269"/>
      <c r="BQ145" s="269"/>
      <c r="BR145" s="269"/>
      <c r="BS145" s="269"/>
      <c r="BT145" s="269"/>
      <c r="BU145" s="269"/>
      <c r="BV145" s="269"/>
      <c r="BW145" s="269"/>
      <c r="BX145" s="269"/>
      <c r="BY145" s="269"/>
      <c r="BZ145" s="269"/>
      <c r="CA145" s="269"/>
      <c r="CB145" s="269"/>
      <c r="CC145" s="269"/>
      <c r="CD145" s="269"/>
      <c r="CE145" s="269"/>
    </row>
    <row r="146" spans="1:83" s="134" customFormat="1" ht="18" x14ac:dyDescent="0.3">
      <c r="A146" s="275"/>
      <c r="B146" s="238"/>
      <c r="C146" s="128" t="s">
        <v>243</v>
      </c>
      <c r="D146" s="129" t="s">
        <v>158</v>
      </c>
      <c r="E146" s="235"/>
      <c r="F146" s="233" t="s">
        <v>6</v>
      </c>
      <c r="G146" s="233" t="s">
        <v>6</v>
      </c>
      <c r="H146" s="233" t="s">
        <v>6</v>
      </c>
      <c r="I146" s="233" t="s">
        <v>6</v>
      </c>
      <c r="J146" s="233" t="s">
        <v>6</v>
      </c>
      <c r="K146" s="233" t="s">
        <v>6</v>
      </c>
      <c r="L146" s="125" t="s">
        <v>7</v>
      </c>
      <c r="M146" s="130" t="s">
        <v>7</v>
      </c>
      <c r="N146" s="247" t="s">
        <v>7</v>
      </c>
      <c r="O146" s="131"/>
      <c r="P146" s="222" t="s">
        <v>6</v>
      </c>
      <c r="Q146" s="132">
        <f>AA146</f>
        <v>0</v>
      </c>
      <c r="R146" s="79"/>
      <c r="S146" s="79"/>
      <c r="T146" s="79"/>
      <c r="U146" s="79"/>
      <c r="V146" s="48"/>
      <c r="W146" s="48"/>
      <c r="X146" s="48"/>
      <c r="Y146" s="48"/>
      <c r="Z146" s="75"/>
      <c r="AA146" s="89"/>
      <c r="AB146" s="72"/>
      <c r="AC146" s="72"/>
      <c r="AD146" s="75"/>
      <c r="AE146" s="75"/>
      <c r="AF146" s="48"/>
      <c r="AG146" s="72"/>
      <c r="AH146" s="72"/>
      <c r="AI146" s="72"/>
      <c r="AJ146" s="72"/>
      <c r="AK146" s="72"/>
      <c r="AL146" s="72"/>
      <c r="AM146" s="72"/>
      <c r="AN146" s="75"/>
      <c r="AO146" s="75"/>
      <c r="AP146" s="75"/>
      <c r="AQ146" s="75"/>
      <c r="AR146" s="75"/>
      <c r="AS146" s="75"/>
      <c r="AT146" s="75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133"/>
      <c r="BL146" s="48"/>
      <c r="BM146" s="275"/>
      <c r="BN146" s="275"/>
      <c r="BO146" s="275"/>
      <c r="BP146" s="275"/>
      <c r="BQ146" s="275"/>
      <c r="BR146" s="275"/>
      <c r="BS146" s="275"/>
      <c r="BT146" s="275"/>
      <c r="BU146" s="275"/>
      <c r="BV146" s="275"/>
      <c r="BW146" s="275"/>
      <c r="BX146" s="275"/>
      <c r="BY146" s="275"/>
      <c r="BZ146" s="275"/>
      <c r="CA146" s="275"/>
      <c r="CB146" s="275"/>
      <c r="CC146" s="275"/>
      <c r="CD146" s="275"/>
      <c r="CE146" s="275"/>
    </row>
    <row r="147" spans="1:83" s="134" customFormat="1" ht="18" x14ac:dyDescent="0.3">
      <c r="A147" s="275"/>
      <c r="B147" s="238"/>
      <c r="C147" s="128" t="s">
        <v>245</v>
      </c>
      <c r="D147" s="129" t="s">
        <v>158</v>
      </c>
      <c r="E147" s="235"/>
      <c r="F147" s="233" t="s">
        <v>6</v>
      </c>
      <c r="G147" s="233" t="s">
        <v>6</v>
      </c>
      <c r="H147" s="233" t="s">
        <v>6</v>
      </c>
      <c r="I147" s="233" t="s">
        <v>6</v>
      </c>
      <c r="J147" s="233" t="s">
        <v>6</v>
      </c>
      <c r="K147" s="233" t="s">
        <v>6</v>
      </c>
      <c r="L147" s="125" t="s">
        <v>7</v>
      </c>
      <c r="M147" s="130" t="s">
        <v>7</v>
      </c>
      <c r="N147" s="247" t="s">
        <v>7</v>
      </c>
      <c r="O147" s="131"/>
      <c r="P147" s="222" t="s">
        <v>6</v>
      </c>
      <c r="Q147" s="132">
        <f>AA147</f>
        <v>0</v>
      </c>
      <c r="R147" s="79"/>
      <c r="S147" s="79"/>
      <c r="T147" s="79"/>
      <c r="U147" s="79"/>
      <c r="V147" s="48"/>
      <c r="W147" s="48"/>
      <c r="X147" s="48"/>
      <c r="Y147" s="48"/>
      <c r="Z147" s="75"/>
      <c r="AA147" s="89"/>
      <c r="AB147" s="72"/>
      <c r="AC147" s="72"/>
      <c r="AD147" s="75"/>
      <c r="AE147" s="75"/>
      <c r="AF147" s="48"/>
      <c r="AG147" s="72"/>
      <c r="AH147" s="72"/>
      <c r="AI147" s="72"/>
      <c r="AJ147" s="72"/>
      <c r="AK147" s="72"/>
      <c r="AL147" s="72"/>
      <c r="AM147" s="72"/>
      <c r="AN147" s="75"/>
      <c r="AO147" s="75"/>
      <c r="AP147" s="75"/>
      <c r="AQ147" s="75"/>
      <c r="AR147" s="75"/>
      <c r="AS147" s="75"/>
      <c r="AT147" s="75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133"/>
      <c r="BL147" s="48"/>
      <c r="BM147" s="275"/>
      <c r="BN147" s="275"/>
      <c r="BO147" s="275"/>
      <c r="BP147" s="275"/>
      <c r="BQ147" s="275"/>
      <c r="BR147" s="275"/>
      <c r="BS147" s="275"/>
      <c r="BT147" s="275"/>
      <c r="BU147" s="275"/>
      <c r="BV147" s="275"/>
      <c r="BW147" s="275"/>
      <c r="BX147" s="275"/>
      <c r="BY147" s="275"/>
      <c r="BZ147" s="275"/>
      <c r="CA147" s="275"/>
      <c r="CB147" s="275"/>
      <c r="CC147" s="275"/>
      <c r="CD147" s="275"/>
      <c r="CE147" s="275"/>
    </row>
    <row r="148" spans="1:83" s="97" customFormat="1" ht="18" x14ac:dyDescent="0.25">
      <c r="A148" s="269"/>
      <c r="B148" s="238"/>
      <c r="C148" s="240" t="s">
        <v>291</v>
      </c>
      <c r="D148" s="241" t="s">
        <v>158</v>
      </c>
      <c r="E148" s="242"/>
      <c r="F148" s="242" t="s">
        <v>6</v>
      </c>
      <c r="G148" s="242" t="s">
        <v>6</v>
      </c>
      <c r="H148" s="242" t="s">
        <v>6</v>
      </c>
      <c r="I148" s="242" t="s">
        <v>6</v>
      </c>
      <c r="J148" s="242" t="s">
        <v>6</v>
      </c>
      <c r="K148" s="242" t="s">
        <v>6</v>
      </c>
      <c r="L148" s="125" t="s">
        <v>7</v>
      </c>
      <c r="M148" s="130" t="s">
        <v>7</v>
      </c>
      <c r="N148" s="247" t="s">
        <v>7</v>
      </c>
      <c r="O148" s="131"/>
      <c r="P148" s="220" t="s">
        <v>6</v>
      </c>
      <c r="Q148" s="79"/>
      <c r="R148" s="79"/>
      <c r="S148" s="79"/>
      <c r="T148" s="79"/>
      <c r="U148" s="79"/>
      <c r="V148" s="47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118"/>
      <c r="AH148" s="118"/>
      <c r="AI148" s="118"/>
      <c r="AJ148" s="79"/>
      <c r="AK148" s="118"/>
      <c r="AL148" s="118"/>
      <c r="AM148" s="118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89"/>
      <c r="BL148" s="79"/>
      <c r="BM148" s="269"/>
      <c r="BN148" s="269"/>
      <c r="BO148" s="269"/>
      <c r="BP148" s="269"/>
      <c r="BQ148" s="269"/>
      <c r="BR148" s="269"/>
      <c r="BS148" s="269"/>
      <c r="BT148" s="269"/>
      <c r="BU148" s="269"/>
      <c r="BV148" s="269"/>
      <c r="BW148" s="269"/>
      <c r="BX148" s="269"/>
      <c r="BY148" s="269"/>
      <c r="BZ148" s="269"/>
      <c r="CA148" s="269"/>
      <c r="CB148" s="269"/>
      <c r="CC148" s="269"/>
      <c r="CD148" s="269"/>
      <c r="CE148" s="269"/>
    </row>
    <row r="149" spans="1:83" s="134" customFormat="1" ht="18" x14ac:dyDescent="0.3">
      <c r="A149" s="275"/>
      <c r="B149" s="238"/>
      <c r="C149" s="128" t="s">
        <v>337</v>
      </c>
      <c r="D149" s="241" t="s">
        <v>158</v>
      </c>
      <c r="E149" s="242"/>
      <c r="F149" s="242" t="s">
        <v>6</v>
      </c>
      <c r="G149" s="242" t="s">
        <v>6</v>
      </c>
      <c r="H149" s="242" t="s">
        <v>6</v>
      </c>
      <c r="I149" s="242" t="s">
        <v>6</v>
      </c>
      <c r="J149" s="242" t="s">
        <v>6</v>
      </c>
      <c r="K149" s="242" t="s">
        <v>6</v>
      </c>
      <c r="L149" s="125" t="s">
        <v>7</v>
      </c>
      <c r="M149" s="130" t="s">
        <v>7</v>
      </c>
      <c r="N149" s="247" t="s">
        <v>7</v>
      </c>
      <c r="O149" s="131"/>
      <c r="P149" s="222"/>
      <c r="Q149" s="132"/>
      <c r="R149" s="79"/>
      <c r="S149" s="79"/>
      <c r="T149" s="79"/>
      <c r="U149" s="79"/>
      <c r="V149" s="48"/>
      <c r="W149" s="48"/>
      <c r="X149" s="48"/>
      <c r="Y149" s="48"/>
      <c r="Z149" s="75"/>
      <c r="AA149" s="89"/>
      <c r="AB149" s="72"/>
      <c r="AC149" s="72"/>
      <c r="AD149" s="75"/>
      <c r="AE149" s="75"/>
      <c r="AF149" s="48"/>
      <c r="AG149" s="72"/>
      <c r="AH149" s="72"/>
      <c r="AI149" s="72"/>
      <c r="AJ149" s="72"/>
      <c r="AK149" s="72"/>
      <c r="AL149" s="72"/>
      <c r="AM149" s="72"/>
      <c r="AN149" s="75"/>
      <c r="AO149" s="75"/>
      <c r="AP149" s="75"/>
      <c r="AQ149" s="75"/>
      <c r="AR149" s="75"/>
      <c r="AS149" s="75"/>
      <c r="AT149" s="75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133"/>
      <c r="BL149" s="48"/>
      <c r="BM149" s="275"/>
      <c r="BN149" s="275"/>
      <c r="BO149" s="275"/>
      <c r="BP149" s="275"/>
      <c r="BQ149" s="275"/>
      <c r="BR149" s="275"/>
      <c r="BS149" s="275"/>
      <c r="BT149" s="275"/>
      <c r="BU149" s="275"/>
      <c r="BV149" s="275"/>
      <c r="BW149" s="275"/>
      <c r="BX149" s="275"/>
      <c r="BY149" s="275"/>
      <c r="BZ149" s="275"/>
      <c r="CA149" s="275"/>
      <c r="CB149" s="275"/>
      <c r="CC149" s="275"/>
      <c r="CD149" s="275"/>
      <c r="CE149" s="275"/>
    </row>
    <row r="150" spans="1:83" s="97" customFormat="1" thickBot="1" x14ac:dyDescent="0.3">
      <c r="A150" s="269"/>
      <c r="B150" s="239"/>
      <c r="C150" s="136" t="s">
        <v>292</v>
      </c>
      <c r="D150" s="137" t="s">
        <v>158</v>
      </c>
      <c r="E150" s="236"/>
      <c r="F150" s="236" t="s">
        <v>6</v>
      </c>
      <c r="G150" s="236" t="s">
        <v>6</v>
      </c>
      <c r="H150" s="236" t="s">
        <v>6</v>
      </c>
      <c r="I150" s="236" t="s">
        <v>6</v>
      </c>
      <c r="J150" s="236" t="s">
        <v>6</v>
      </c>
      <c r="K150" s="236" t="s">
        <v>6</v>
      </c>
      <c r="L150" s="125" t="s">
        <v>7</v>
      </c>
      <c r="M150" s="130" t="s">
        <v>7</v>
      </c>
      <c r="N150" s="247" t="s">
        <v>7</v>
      </c>
      <c r="O150" s="131"/>
      <c r="P150" s="220" t="s">
        <v>6</v>
      </c>
      <c r="Q150" s="79"/>
      <c r="R150" s="79"/>
      <c r="S150" s="79"/>
      <c r="T150" s="79"/>
      <c r="U150" s="79"/>
      <c r="V150" s="47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118"/>
      <c r="AH150" s="118"/>
      <c r="AI150" s="118"/>
      <c r="AJ150" s="79"/>
      <c r="AK150" s="118"/>
      <c r="AL150" s="118"/>
      <c r="AM150" s="118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89"/>
      <c r="BL150" s="79"/>
      <c r="BM150" s="269"/>
      <c r="BN150" s="269"/>
      <c r="BO150" s="269"/>
      <c r="BP150" s="269"/>
      <c r="BQ150" s="269"/>
      <c r="BR150" s="269"/>
      <c r="BS150" s="269"/>
      <c r="BT150" s="269"/>
      <c r="BU150" s="269"/>
      <c r="BV150" s="269"/>
      <c r="BW150" s="269"/>
      <c r="BX150" s="269"/>
      <c r="BY150" s="269"/>
      <c r="BZ150" s="269"/>
      <c r="CA150" s="269"/>
      <c r="CB150" s="269"/>
      <c r="CC150" s="269"/>
      <c r="CD150" s="269"/>
      <c r="CE150" s="269"/>
    </row>
    <row r="151" spans="1:83" s="1" customFormat="1" thickBot="1" x14ac:dyDescent="0.35">
      <c r="A151" s="276"/>
      <c r="B151" s="359" t="s">
        <v>9</v>
      </c>
      <c r="C151" s="360" t="s">
        <v>252</v>
      </c>
      <c r="D151" s="360"/>
      <c r="E151" s="361">
        <f>E$14+SUMIFS($M$74:$M$150,$B$74:$B$150,"x",E$74:E$150,"")</f>
        <v>0</v>
      </c>
      <c r="F151" s="361">
        <f t="shared" ref="F151:K151" si="9">F$14+SUMIFS($L$74:$L$150,$B$74:$B$150,"x",F$74:F$150,"")</f>
        <v>40</v>
      </c>
      <c r="G151" s="361">
        <f t="shared" si="9"/>
        <v>40</v>
      </c>
      <c r="H151" s="362">
        <f t="shared" si="9"/>
        <v>70</v>
      </c>
      <c r="I151" s="363">
        <f t="shared" si="9"/>
        <v>135</v>
      </c>
      <c r="J151" s="363">
        <f t="shared" si="9"/>
        <v>165</v>
      </c>
      <c r="K151" s="363">
        <f t="shared" si="9"/>
        <v>300</v>
      </c>
      <c r="L151" s="364">
        <f>SUM(L74:L114)+SUM(L117:L150)</f>
        <v>504.95</v>
      </c>
      <c r="M151" s="365">
        <f>SUM(M74:M114)+SUM(M117:M150)</f>
        <v>629.25999999999976</v>
      </c>
      <c r="N151" s="366">
        <f>SUMIFS($N$74:$N$150,$B$74:$B$150,"x")</f>
        <v>0</v>
      </c>
      <c r="O151" s="367"/>
      <c r="P151" s="223" t="s">
        <v>6</v>
      </c>
      <c r="Q151" s="42"/>
      <c r="R151" s="79"/>
      <c r="S151" s="79"/>
      <c r="T151" s="79"/>
      <c r="U151" s="79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3"/>
      <c r="BC151" s="43"/>
      <c r="BD151" s="41">
        <v>1.984126984126984E-2</v>
      </c>
      <c r="BE151" s="138">
        <f>BD151/$BD$164</f>
        <v>3.3112582781456956E-2</v>
      </c>
      <c r="BF151" s="42"/>
      <c r="BG151" s="43"/>
      <c r="BH151" s="43"/>
      <c r="BI151" s="42"/>
      <c r="BJ151" s="42"/>
      <c r="BK151" s="44"/>
      <c r="BL151" s="42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76"/>
      <c r="CB151" s="276"/>
      <c r="CC151" s="276"/>
      <c r="CD151" s="276"/>
      <c r="CE151" s="276"/>
    </row>
    <row r="152" spans="1:83" s="1" customFormat="1" ht="18" x14ac:dyDescent="0.3">
      <c r="A152" s="276"/>
      <c r="B152" s="297"/>
      <c r="C152" s="368" t="s">
        <v>253</v>
      </c>
      <c r="D152" s="369"/>
      <c r="E152" s="370">
        <f>$E$151-F$151</f>
        <v>-40</v>
      </c>
      <c r="F152" s="371" t="s">
        <v>10</v>
      </c>
      <c r="G152" s="370">
        <f>$G$151-F$151</f>
        <v>0</v>
      </c>
      <c r="H152" s="370">
        <f>$H$151-F$151</f>
        <v>30</v>
      </c>
      <c r="I152" s="370">
        <f>$I$151-F$151</f>
        <v>95</v>
      </c>
      <c r="J152" s="370">
        <f>$J$151-F$151</f>
        <v>125</v>
      </c>
      <c r="K152" s="372">
        <f>$K$151-F$151</f>
        <v>260</v>
      </c>
      <c r="L152" s="300"/>
      <c r="M152" s="301"/>
      <c r="N152" s="302"/>
      <c r="O152" s="276"/>
      <c r="P152" s="220" t="s">
        <v>6</v>
      </c>
      <c r="Q152" s="42"/>
      <c r="R152" s="79"/>
      <c r="S152" s="79"/>
      <c r="T152" s="79"/>
      <c r="U152" s="79"/>
      <c r="V152" s="42"/>
      <c r="W152" s="42"/>
      <c r="X152" s="42"/>
      <c r="Y152" s="42"/>
      <c r="Z152" s="127"/>
      <c r="AA152" s="42"/>
      <c r="AB152" s="127"/>
      <c r="AC152" s="127"/>
      <c r="AD152" s="42"/>
      <c r="AE152" s="42"/>
      <c r="AF152" s="42"/>
      <c r="AG152" s="65"/>
      <c r="AH152" s="42"/>
      <c r="AI152" s="65"/>
      <c r="AJ152" s="127"/>
      <c r="AK152" s="139"/>
      <c r="AL152" s="42"/>
      <c r="AM152" s="65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3"/>
      <c r="BC152" s="43"/>
      <c r="BD152" s="41">
        <v>1.984126984126984E-2</v>
      </c>
      <c r="BE152" s="138">
        <f>BD152/$BD$164</f>
        <v>3.3112582781456956E-2</v>
      </c>
      <c r="BF152" s="42"/>
      <c r="BG152" s="43"/>
      <c r="BH152" s="43"/>
      <c r="BI152" s="42"/>
      <c r="BJ152" s="42"/>
      <c r="BK152" s="44"/>
      <c r="BL152" s="42"/>
      <c r="BM152" s="276"/>
      <c r="BN152" s="276"/>
      <c r="BO152" s="276"/>
      <c r="BP152" s="276"/>
      <c r="BQ152" s="276"/>
      <c r="BR152" s="276"/>
      <c r="BS152" s="276"/>
      <c r="BT152" s="276"/>
      <c r="BU152" s="276"/>
      <c r="BV152" s="276"/>
      <c r="BW152" s="276"/>
      <c r="BX152" s="276"/>
      <c r="BY152" s="276"/>
      <c r="BZ152" s="276"/>
      <c r="CA152" s="276"/>
      <c r="CB152" s="276"/>
      <c r="CC152" s="276"/>
      <c r="CD152" s="276"/>
      <c r="CE152" s="276"/>
    </row>
    <row r="153" spans="1:83" s="1" customFormat="1" ht="18" x14ac:dyDescent="0.3">
      <c r="A153" s="276"/>
      <c r="B153" s="297"/>
      <c r="C153" s="373" t="s">
        <v>254</v>
      </c>
      <c r="D153" s="374"/>
      <c r="E153" s="375">
        <f>$E$151-G$151</f>
        <v>-40</v>
      </c>
      <c r="F153" s="375">
        <f>$F$151-G$151</f>
        <v>0</v>
      </c>
      <c r="G153" s="371" t="s">
        <v>10</v>
      </c>
      <c r="H153" s="375">
        <f>$H$151-G$151</f>
        <v>30</v>
      </c>
      <c r="I153" s="375">
        <f>$I$151-G$151</f>
        <v>95</v>
      </c>
      <c r="J153" s="375">
        <f>$J$151-G$151</f>
        <v>125</v>
      </c>
      <c r="K153" s="376">
        <f>$K$151-G$151</f>
        <v>260</v>
      </c>
      <c r="L153" s="300"/>
      <c r="M153" s="301"/>
      <c r="N153" s="302"/>
      <c r="O153" s="276"/>
      <c r="P153" s="220" t="s">
        <v>6</v>
      </c>
      <c r="Q153" s="42"/>
      <c r="R153" s="79"/>
      <c r="S153" s="79"/>
      <c r="T153" s="79"/>
      <c r="U153" s="79"/>
      <c r="V153" s="42"/>
      <c r="W153" s="42"/>
      <c r="X153" s="42"/>
      <c r="Y153" s="42"/>
      <c r="Z153" s="127"/>
      <c r="AA153" s="42"/>
      <c r="AB153" s="127"/>
      <c r="AC153" s="127"/>
      <c r="AD153" s="42"/>
      <c r="AE153" s="42"/>
      <c r="AF153" s="42"/>
      <c r="AG153" s="65"/>
      <c r="AH153" s="42"/>
      <c r="AI153" s="65"/>
      <c r="AJ153" s="127"/>
      <c r="AK153" s="139"/>
      <c r="AL153" s="42"/>
      <c r="AM153" s="65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3"/>
      <c r="BC153" s="43"/>
      <c r="BD153" s="41">
        <v>1.984126984126984E-2</v>
      </c>
      <c r="BE153" s="138">
        <f>BD153/$BD$164</f>
        <v>3.3112582781456956E-2</v>
      </c>
      <c r="BF153" s="42"/>
      <c r="BG153" s="43"/>
      <c r="BH153" s="43"/>
      <c r="BI153" s="42"/>
      <c r="BJ153" s="42"/>
      <c r="BK153" s="44"/>
      <c r="BL153" s="42"/>
      <c r="BM153" s="276"/>
      <c r="BN153" s="276"/>
      <c r="BO153" s="276"/>
      <c r="BP153" s="276"/>
      <c r="BQ153" s="276"/>
      <c r="BR153" s="276"/>
      <c r="BS153" s="276"/>
      <c r="BT153" s="276"/>
      <c r="BU153" s="276"/>
      <c r="BV153" s="276"/>
      <c r="BW153" s="276"/>
      <c r="BX153" s="276"/>
      <c r="BY153" s="276"/>
      <c r="BZ153" s="276"/>
      <c r="CA153" s="276"/>
      <c r="CB153" s="276"/>
      <c r="CC153" s="276"/>
      <c r="CD153" s="276"/>
      <c r="CE153" s="276"/>
    </row>
    <row r="154" spans="1:83" s="1" customFormat="1" ht="18" x14ac:dyDescent="0.3">
      <c r="A154" s="276"/>
      <c r="B154" s="297"/>
      <c r="C154" s="373" t="s">
        <v>255</v>
      </c>
      <c r="D154" s="374"/>
      <c r="E154" s="375">
        <f>$E$151-H$151</f>
        <v>-70</v>
      </c>
      <c r="F154" s="375">
        <f>$F$151-H$151</f>
        <v>-30</v>
      </c>
      <c r="G154" s="375">
        <f>$G$151-H$151</f>
        <v>-30</v>
      </c>
      <c r="H154" s="371" t="s">
        <v>10</v>
      </c>
      <c r="I154" s="375">
        <f>$I$151-H$151</f>
        <v>65</v>
      </c>
      <c r="J154" s="375">
        <f>$J$151-H$151</f>
        <v>95</v>
      </c>
      <c r="K154" s="376">
        <f>$K$151-H$151</f>
        <v>230</v>
      </c>
      <c r="L154" s="300"/>
      <c r="M154" s="301"/>
      <c r="N154" s="302"/>
      <c r="O154" s="276"/>
      <c r="P154" s="220" t="s">
        <v>6</v>
      </c>
      <c r="Q154" s="42"/>
      <c r="R154" s="79"/>
      <c r="S154" s="79"/>
      <c r="T154" s="79"/>
      <c r="U154" s="79"/>
      <c r="V154" s="42"/>
      <c r="W154" s="42"/>
      <c r="X154" s="42"/>
      <c r="Y154" s="42"/>
      <c r="Z154" s="127"/>
      <c r="AA154" s="42"/>
      <c r="AB154" s="127"/>
      <c r="AC154" s="127"/>
      <c r="AD154" s="42"/>
      <c r="AE154" s="42"/>
      <c r="AF154" s="42"/>
      <c r="AG154" s="65"/>
      <c r="AH154" s="42"/>
      <c r="AI154" s="65"/>
      <c r="AJ154" s="127"/>
      <c r="AK154" s="139"/>
      <c r="AL154" s="42"/>
      <c r="AM154" s="65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3"/>
      <c r="BC154" s="43"/>
      <c r="BD154" s="41">
        <v>2.2486772486772486E-2</v>
      </c>
      <c r="BE154" s="138">
        <f>BD154/$BD$164</f>
        <v>3.7527593818984552E-2</v>
      </c>
      <c r="BF154" s="42"/>
      <c r="BG154" s="43"/>
      <c r="BH154" s="43"/>
      <c r="BI154" s="42"/>
      <c r="BJ154" s="42"/>
      <c r="BK154" s="44"/>
      <c r="BL154" s="42"/>
      <c r="BM154" s="276"/>
      <c r="BN154" s="276"/>
      <c r="BO154" s="276"/>
      <c r="BP154" s="276"/>
      <c r="BQ154" s="276"/>
      <c r="BR154" s="276"/>
      <c r="BS154" s="276"/>
      <c r="BT154" s="276"/>
      <c r="BU154" s="276"/>
      <c r="BV154" s="276"/>
      <c r="BW154" s="276"/>
      <c r="BX154" s="276"/>
      <c r="BY154" s="276"/>
      <c r="BZ154" s="276"/>
      <c r="CA154" s="276"/>
      <c r="CB154" s="276"/>
      <c r="CC154" s="276"/>
      <c r="CD154" s="276"/>
      <c r="CE154" s="276"/>
    </row>
    <row r="155" spans="1:83" s="1" customFormat="1" ht="18" x14ac:dyDescent="0.3">
      <c r="A155" s="276"/>
      <c r="B155" s="297"/>
      <c r="C155" s="373" t="s">
        <v>256</v>
      </c>
      <c r="D155" s="374"/>
      <c r="E155" s="375">
        <f>$E$151-I$151</f>
        <v>-135</v>
      </c>
      <c r="F155" s="375">
        <f>$F$151-I$151</f>
        <v>-95</v>
      </c>
      <c r="G155" s="375">
        <f>$G$151-I$151</f>
        <v>-95</v>
      </c>
      <c r="H155" s="375">
        <f>$H$151-I$151</f>
        <v>-65</v>
      </c>
      <c r="I155" s="371" t="s">
        <v>10</v>
      </c>
      <c r="J155" s="375">
        <f>$J$151-I$151</f>
        <v>30</v>
      </c>
      <c r="K155" s="376">
        <f>$K$151-I$151</f>
        <v>165</v>
      </c>
      <c r="L155" s="300"/>
      <c r="M155" s="301"/>
      <c r="N155" s="302"/>
      <c r="O155" s="276"/>
      <c r="P155" s="220" t="s">
        <v>6</v>
      </c>
      <c r="Q155" s="42"/>
      <c r="R155" s="42"/>
      <c r="S155" s="42"/>
      <c r="T155" s="42"/>
      <c r="U155" s="42"/>
      <c r="V155" s="42"/>
      <c r="W155" s="42"/>
      <c r="X155" s="42"/>
      <c r="Y155" s="42"/>
      <c r="Z155" s="127"/>
      <c r="AA155" s="42"/>
      <c r="AB155" s="127"/>
      <c r="AC155" s="127"/>
      <c r="AD155" s="42"/>
      <c r="AE155" s="42"/>
      <c r="AF155" s="42"/>
      <c r="AG155" s="65"/>
      <c r="AH155" s="42"/>
      <c r="AI155" s="65"/>
      <c r="AJ155" s="127"/>
      <c r="AK155" s="139"/>
      <c r="AL155" s="42"/>
      <c r="AM155" s="65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3"/>
      <c r="BC155" s="43"/>
      <c r="BD155" s="41">
        <v>2.5132275132275131E-2</v>
      </c>
      <c r="BE155" s="138">
        <f t="shared" ref="BE155:BE156" si="10">BD155/$BD$164</f>
        <v>4.1942604856512147E-2</v>
      </c>
      <c r="BF155" s="42"/>
      <c r="BG155" s="43"/>
      <c r="BH155" s="43"/>
      <c r="BI155" s="42"/>
      <c r="BJ155" s="42"/>
      <c r="BK155" s="44"/>
      <c r="BL155" s="42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76"/>
      <c r="CB155" s="276"/>
      <c r="CC155" s="276"/>
      <c r="CD155" s="276"/>
      <c r="CE155" s="276"/>
    </row>
    <row r="156" spans="1:83" s="1" customFormat="1" ht="18" x14ac:dyDescent="0.3">
      <c r="A156" s="276"/>
      <c r="B156" s="297"/>
      <c r="C156" s="373" t="s">
        <v>257</v>
      </c>
      <c r="D156" s="374"/>
      <c r="E156" s="375">
        <f>$E$151-J$151</f>
        <v>-165</v>
      </c>
      <c r="F156" s="375">
        <f>$F$151-J$151</f>
        <v>-125</v>
      </c>
      <c r="G156" s="375">
        <f>$G$151-J$151</f>
        <v>-125</v>
      </c>
      <c r="H156" s="375">
        <f>$H$151-J$151</f>
        <v>-95</v>
      </c>
      <c r="I156" s="375">
        <f>$I$151-J$151</f>
        <v>-30</v>
      </c>
      <c r="J156" s="371" t="s">
        <v>10</v>
      </c>
      <c r="K156" s="376">
        <f>$K$151-J$151</f>
        <v>135</v>
      </c>
      <c r="L156" s="300"/>
      <c r="M156" s="301"/>
      <c r="N156" s="302"/>
      <c r="O156" s="276"/>
      <c r="P156" s="220" t="s">
        <v>6</v>
      </c>
      <c r="Q156" s="42"/>
      <c r="R156" s="42"/>
      <c r="S156" s="42"/>
      <c r="T156" s="42"/>
      <c r="U156" s="42"/>
      <c r="V156" s="42"/>
      <c r="W156" s="42"/>
      <c r="X156" s="42"/>
      <c r="Y156" s="42"/>
      <c r="Z156" s="127"/>
      <c r="AA156" s="42"/>
      <c r="AB156" s="127"/>
      <c r="AC156" s="127"/>
      <c r="AD156" s="42"/>
      <c r="AE156" s="42"/>
      <c r="AF156" s="42"/>
      <c r="AG156" s="65"/>
      <c r="AH156" s="42"/>
      <c r="AI156" s="65"/>
      <c r="AJ156" s="127"/>
      <c r="AK156" s="139"/>
      <c r="AL156" s="42"/>
      <c r="AM156" s="65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3"/>
      <c r="BC156" s="43"/>
      <c r="BD156" s="41">
        <v>2.5132275132275131E-2</v>
      </c>
      <c r="BE156" s="138">
        <f t="shared" si="10"/>
        <v>4.1942604856512147E-2</v>
      </c>
      <c r="BF156" s="42"/>
      <c r="BG156" s="43"/>
      <c r="BH156" s="43"/>
      <c r="BI156" s="42"/>
      <c r="BJ156" s="42"/>
      <c r="BK156" s="44"/>
      <c r="BL156" s="42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76"/>
      <c r="CB156" s="276"/>
      <c r="CC156" s="276"/>
      <c r="CD156" s="276"/>
      <c r="CE156" s="276"/>
    </row>
    <row r="157" spans="1:83" s="1" customFormat="1" thickBot="1" x14ac:dyDescent="0.35">
      <c r="A157" s="276"/>
      <c r="B157" s="297"/>
      <c r="C157" s="377" t="s">
        <v>258</v>
      </c>
      <c r="D157" s="378"/>
      <c r="E157" s="379">
        <f>$E$151-K$151</f>
        <v>-300</v>
      </c>
      <c r="F157" s="379">
        <f>$F$151-K$151</f>
        <v>-260</v>
      </c>
      <c r="G157" s="379">
        <f>$G$151-K$151</f>
        <v>-260</v>
      </c>
      <c r="H157" s="379">
        <f>$H$151-K$151</f>
        <v>-230</v>
      </c>
      <c r="I157" s="379">
        <f>$I$151-K$151</f>
        <v>-165</v>
      </c>
      <c r="J157" s="379">
        <f>$J$151-K$151</f>
        <v>-135</v>
      </c>
      <c r="K157" s="380" t="s">
        <v>10</v>
      </c>
      <c r="L157" s="300"/>
      <c r="M157" s="301"/>
      <c r="N157" s="302"/>
      <c r="O157" s="276"/>
      <c r="P157" s="220" t="s">
        <v>6</v>
      </c>
      <c r="Q157" s="42"/>
      <c r="R157" s="42"/>
      <c r="S157" s="42"/>
      <c r="T157" s="42"/>
      <c r="U157" s="42"/>
      <c r="V157" s="42"/>
      <c r="W157" s="42"/>
      <c r="X157" s="42"/>
      <c r="Y157" s="42"/>
      <c r="Z157" s="127"/>
      <c r="AA157" s="42"/>
      <c r="AB157" s="127"/>
      <c r="AC157" s="127"/>
      <c r="AD157" s="42"/>
      <c r="AE157" s="42"/>
      <c r="AF157" s="42"/>
      <c r="AG157" s="65"/>
      <c r="AH157" s="42"/>
      <c r="AI157" s="65"/>
      <c r="AJ157" s="127"/>
      <c r="AK157" s="139"/>
      <c r="AL157" s="42"/>
      <c r="AM157" s="65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3"/>
      <c r="BC157" s="43"/>
      <c r="BD157" s="41">
        <v>2.5132275132275131E-2</v>
      </c>
      <c r="BE157" s="138">
        <f t="shared" ref="BE157" si="11">BD157/$BD$164</f>
        <v>4.1942604856512147E-2</v>
      </c>
      <c r="BF157" s="42"/>
      <c r="BG157" s="43"/>
      <c r="BH157" s="43"/>
      <c r="BI157" s="42"/>
      <c r="BJ157" s="42"/>
      <c r="BK157" s="44"/>
      <c r="BL157" s="42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76"/>
      <c r="CB157" s="276"/>
      <c r="CC157" s="276"/>
      <c r="CD157" s="276"/>
      <c r="CE157" s="276"/>
    </row>
    <row r="158" spans="1:83" s="1" customFormat="1" thickBot="1" x14ac:dyDescent="0.35">
      <c r="A158" s="276"/>
      <c r="B158" s="297"/>
      <c r="C158" s="298"/>
      <c r="D158" s="298"/>
      <c r="E158" s="299"/>
      <c r="F158" s="299"/>
      <c r="G158" s="299"/>
      <c r="H158" s="299"/>
      <c r="I158" s="299"/>
      <c r="J158" s="299"/>
      <c r="K158" s="299"/>
      <c r="L158" s="300"/>
      <c r="M158" s="301"/>
      <c r="N158" s="302"/>
      <c r="O158" s="276"/>
      <c r="P158" s="224"/>
      <c r="Q158" s="42"/>
      <c r="R158" s="42"/>
      <c r="S158" s="42"/>
      <c r="T158" s="42"/>
      <c r="U158" s="42"/>
      <c r="V158" s="42"/>
      <c r="W158" s="42"/>
      <c r="X158" s="42"/>
      <c r="Y158" s="42"/>
      <c r="Z158" s="127"/>
      <c r="AA158" s="42"/>
      <c r="AB158" s="127"/>
      <c r="AC158" s="127"/>
      <c r="AD158" s="42"/>
      <c r="AE158" s="42"/>
      <c r="AF158" s="42"/>
      <c r="AG158" s="65"/>
      <c r="AH158" s="42"/>
      <c r="AI158" s="65"/>
      <c r="AJ158" s="127"/>
      <c r="AK158" s="139"/>
      <c r="AL158" s="42"/>
      <c r="AM158" s="65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3"/>
      <c r="BC158" s="43"/>
      <c r="BD158" s="41">
        <v>3.0423280423280422E-2</v>
      </c>
      <c r="BE158" s="138">
        <f t="shared" ref="BE158:BE164" si="12">BD158/$BD$164</f>
        <v>5.0772626931567338E-2</v>
      </c>
      <c r="BF158" s="42"/>
      <c r="BG158" s="43"/>
      <c r="BH158" s="43"/>
      <c r="BI158" s="42"/>
      <c r="BJ158" s="42"/>
      <c r="BK158" s="44"/>
      <c r="BL158" s="42"/>
      <c r="BM158" s="276"/>
      <c r="BN158" s="276"/>
      <c r="BO158" s="276"/>
      <c r="BP158" s="276"/>
      <c r="BQ158" s="276"/>
      <c r="BR158" s="276"/>
      <c r="BS158" s="276"/>
      <c r="BT158" s="276"/>
      <c r="BU158" s="276"/>
      <c r="BV158" s="276"/>
      <c r="BW158" s="276"/>
      <c r="BX158" s="276"/>
      <c r="BY158" s="276"/>
      <c r="BZ158" s="276"/>
      <c r="CA158" s="276"/>
      <c r="CB158" s="276"/>
      <c r="CC158" s="276"/>
      <c r="CD158" s="276"/>
      <c r="CE158" s="276"/>
    </row>
    <row r="159" spans="1:83" s="1" customFormat="1" ht="18" x14ac:dyDescent="0.3">
      <c r="A159" s="276"/>
      <c r="B159" s="434" t="s">
        <v>11</v>
      </c>
      <c r="C159" s="381" t="s">
        <v>259</v>
      </c>
      <c r="D159" s="382"/>
      <c r="E159" s="436">
        <f>SUMIF($B$74:$B$150,"x",$M$74:$M$150)</f>
        <v>0</v>
      </c>
      <c r="F159" s="437"/>
      <c r="G159" s="437"/>
      <c r="H159" s="437"/>
      <c r="I159" s="437"/>
      <c r="J159" s="437"/>
      <c r="K159" s="438"/>
      <c r="L159" s="303"/>
      <c r="M159" s="304"/>
      <c r="N159" s="305"/>
      <c r="O159" s="276"/>
      <c r="P159" s="220" t="s">
        <v>6</v>
      </c>
      <c r="Q159" s="42"/>
      <c r="R159" s="42"/>
      <c r="S159" s="42"/>
      <c r="T159" s="42"/>
      <c r="U159" s="42"/>
      <c r="V159" s="42"/>
      <c r="W159" s="42"/>
      <c r="X159" s="42"/>
      <c r="Y159" s="42"/>
      <c r="Z159" s="127"/>
      <c r="AA159" s="42"/>
      <c r="AB159" s="127"/>
      <c r="AC159" s="127"/>
      <c r="AD159" s="42"/>
      <c r="AE159" s="42"/>
      <c r="AF159" s="42"/>
      <c r="AG159" s="65"/>
      <c r="AH159" s="42"/>
      <c r="AI159" s="65"/>
      <c r="AJ159" s="127"/>
      <c r="AK159" s="139"/>
      <c r="AL159" s="42"/>
      <c r="AM159" s="65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3"/>
      <c r="BC159" s="43"/>
      <c r="BD159" s="41">
        <v>3.439153439153439E-2</v>
      </c>
      <c r="BE159" s="138">
        <f t="shared" si="12"/>
        <v>5.7395143487858728E-2</v>
      </c>
      <c r="BF159" s="42"/>
      <c r="BG159" s="43"/>
      <c r="BH159" s="43"/>
      <c r="BI159" s="42"/>
      <c r="BJ159" s="42"/>
      <c r="BK159" s="44"/>
      <c r="BL159" s="42"/>
      <c r="BM159" s="276"/>
      <c r="BN159" s="276"/>
      <c r="BO159" s="276"/>
      <c r="BP159" s="276"/>
      <c r="BQ159" s="276"/>
      <c r="BR159" s="276"/>
      <c r="BS159" s="276"/>
      <c r="BT159" s="276"/>
      <c r="BU159" s="276"/>
      <c r="BV159" s="276"/>
      <c r="BW159" s="276"/>
      <c r="BX159" s="276"/>
      <c r="BY159" s="276"/>
      <c r="BZ159" s="276"/>
      <c r="CA159" s="276"/>
      <c r="CB159" s="276"/>
      <c r="CC159" s="276"/>
      <c r="CD159" s="276"/>
      <c r="CE159" s="276"/>
    </row>
    <row r="160" spans="1:83" s="1" customFormat="1" thickBot="1" x14ac:dyDescent="0.35">
      <c r="A160" s="276"/>
      <c r="B160" s="435"/>
      <c r="C160" s="383" t="s">
        <v>14</v>
      </c>
      <c r="D160" s="384"/>
      <c r="E160" s="385">
        <f t="shared" ref="E160:K160" si="13">$E$159-E151</f>
        <v>0</v>
      </c>
      <c r="F160" s="385">
        <f t="shared" si="13"/>
        <v>-40</v>
      </c>
      <c r="G160" s="385">
        <f t="shared" si="13"/>
        <v>-40</v>
      </c>
      <c r="H160" s="385">
        <f t="shared" si="13"/>
        <v>-70</v>
      </c>
      <c r="I160" s="385">
        <f t="shared" ref="I160" si="14">$E$159-I151</f>
        <v>-135</v>
      </c>
      <c r="J160" s="385">
        <f t="shared" si="13"/>
        <v>-165</v>
      </c>
      <c r="K160" s="386">
        <f t="shared" si="13"/>
        <v>-300</v>
      </c>
      <c r="L160" s="303"/>
      <c r="M160" s="304"/>
      <c r="N160" s="305"/>
      <c r="O160" s="276"/>
      <c r="P160" s="220" t="s">
        <v>6</v>
      </c>
      <c r="Q160" s="42"/>
      <c r="R160" s="42"/>
      <c r="S160" s="42"/>
      <c r="T160" s="42"/>
      <c r="U160" s="42"/>
      <c r="V160" s="42"/>
      <c r="W160" s="42"/>
      <c r="X160" s="42"/>
      <c r="Y160" s="42"/>
      <c r="Z160" s="127"/>
      <c r="AA160" s="42"/>
      <c r="AB160" s="127"/>
      <c r="AC160" s="127"/>
      <c r="AD160" s="42"/>
      <c r="AE160" s="42"/>
      <c r="AF160" s="42"/>
      <c r="AG160" s="65"/>
      <c r="AH160" s="42"/>
      <c r="AI160" s="65"/>
      <c r="AJ160" s="127"/>
      <c r="AK160" s="139"/>
      <c r="AL160" s="42"/>
      <c r="AM160" s="65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3"/>
      <c r="BC160" s="43"/>
      <c r="BD160" s="138">
        <v>3.968253968253968E-2</v>
      </c>
      <c r="BE160" s="138">
        <f t="shared" si="12"/>
        <v>6.6225165562913912E-2</v>
      </c>
      <c r="BF160" s="42"/>
      <c r="BG160" s="43"/>
      <c r="BH160" s="43"/>
      <c r="BI160" s="42"/>
      <c r="BJ160" s="42"/>
      <c r="BK160" s="44"/>
      <c r="BL160" s="42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76"/>
      <c r="CB160" s="276"/>
      <c r="CC160" s="276"/>
      <c r="CD160" s="276"/>
      <c r="CE160" s="276"/>
    </row>
    <row r="161" spans="1:83" s="2" customFormat="1" ht="19.5" thickBot="1" x14ac:dyDescent="0.35">
      <c r="A161" s="262"/>
      <c r="B161" s="318"/>
      <c r="C161" s="262"/>
      <c r="D161" s="262"/>
      <c r="E161" s="294"/>
      <c r="F161" s="294"/>
      <c r="G161" s="294"/>
      <c r="H161" s="294"/>
      <c r="I161" s="294"/>
      <c r="J161" s="294"/>
      <c r="K161" s="294"/>
      <c r="L161" s="285"/>
      <c r="M161" s="286"/>
      <c r="N161" s="287"/>
      <c r="O161" s="262"/>
      <c r="P161" s="225"/>
      <c r="Q161" s="47"/>
      <c r="R161" s="47"/>
      <c r="S161" s="47"/>
      <c r="T161" s="47"/>
      <c r="U161" s="47"/>
      <c r="V161" s="47"/>
      <c r="W161" s="47"/>
      <c r="X161" s="47"/>
      <c r="Y161" s="47"/>
      <c r="Z161" s="127"/>
      <c r="AA161" s="47"/>
      <c r="AB161" s="127"/>
      <c r="AC161" s="127"/>
      <c r="AD161" s="47"/>
      <c r="AE161" s="47"/>
      <c r="AF161" s="47"/>
      <c r="AG161" s="67"/>
      <c r="AH161" s="47"/>
      <c r="AI161" s="67"/>
      <c r="AJ161" s="127"/>
      <c r="AK161" s="139"/>
      <c r="AL161" s="47"/>
      <c r="AM161" s="67"/>
      <c r="AN161" s="47"/>
      <c r="AO161" s="47"/>
      <c r="AP161" s="47"/>
      <c r="AQ161" s="47"/>
      <c r="AR161" s="47"/>
      <c r="AS161" s="47"/>
      <c r="AT161" s="47"/>
      <c r="AU161" s="47"/>
      <c r="AV161" s="48"/>
      <c r="AW161" s="48"/>
      <c r="AX161" s="47"/>
      <c r="AY161" s="47"/>
      <c r="AZ161" s="48"/>
      <c r="BA161" s="48"/>
      <c r="BB161" s="47"/>
      <c r="BC161" s="47"/>
      <c r="BD161" s="41">
        <v>4.7619047619047616E-2</v>
      </c>
      <c r="BE161" s="138">
        <f t="shared" si="12"/>
        <v>7.9470198675496706E-2</v>
      </c>
      <c r="BF161" s="47"/>
      <c r="BG161" s="47"/>
      <c r="BH161" s="47"/>
      <c r="BI161" s="48"/>
      <c r="BJ161" s="48"/>
      <c r="BK161" s="49"/>
      <c r="BL161" s="47"/>
      <c r="BM161" s="262"/>
      <c r="BN161" s="262"/>
      <c r="BO161" s="262"/>
      <c r="BP161" s="262"/>
      <c r="BQ161" s="262"/>
      <c r="BR161" s="262"/>
      <c r="BS161" s="262"/>
      <c r="BT161" s="262"/>
      <c r="BU161" s="262"/>
      <c r="BV161" s="262"/>
      <c r="BW161" s="262"/>
      <c r="BX161" s="262"/>
      <c r="BY161" s="262"/>
      <c r="BZ161" s="262"/>
      <c r="CA161" s="262"/>
      <c r="CB161" s="262"/>
      <c r="CC161" s="262"/>
      <c r="CD161" s="262"/>
      <c r="CE161" s="262"/>
    </row>
    <row r="162" spans="1:83" s="1" customFormat="1" ht="18" x14ac:dyDescent="0.3">
      <c r="A162" s="276"/>
      <c r="B162" s="439" t="s">
        <v>12</v>
      </c>
      <c r="C162" s="381" t="s">
        <v>159</v>
      </c>
      <c r="D162" s="382"/>
      <c r="E162" s="387">
        <f t="shared" ref="E162:K162" si="15">SUMIFS($M$74:$M$150,$B$74:$B$150,"",E$74:E$150,"µ")</f>
        <v>0</v>
      </c>
      <c r="F162" s="387">
        <f t="shared" si="15"/>
        <v>91.889999999999986</v>
      </c>
      <c r="G162" s="387">
        <f t="shared" si="15"/>
        <v>85.36999999999999</v>
      </c>
      <c r="H162" s="387">
        <f t="shared" si="15"/>
        <v>115.36999999999999</v>
      </c>
      <c r="I162" s="387">
        <f t="shared" si="15"/>
        <v>278.32</v>
      </c>
      <c r="J162" s="387">
        <f t="shared" si="15"/>
        <v>308.32</v>
      </c>
      <c r="K162" s="388">
        <f t="shared" si="15"/>
        <v>501.30999999999995</v>
      </c>
      <c r="L162" s="303"/>
      <c r="M162" s="304"/>
      <c r="N162" s="305"/>
      <c r="O162" s="276"/>
      <c r="P162" s="220" t="s">
        <v>6</v>
      </c>
      <c r="Q162" s="42"/>
      <c r="R162" s="42"/>
      <c r="S162" s="42"/>
      <c r="T162" s="42"/>
      <c r="U162" s="42"/>
      <c r="V162" s="42"/>
      <c r="W162" s="42"/>
      <c r="X162" s="42"/>
      <c r="Y162" s="42"/>
      <c r="Z162" s="127"/>
      <c r="AA162" s="45"/>
      <c r="AB162" s="127"/>
      <c r="AC162" s="127"/>
      <c r="AD162" s="45"/>
      <c r="AE162" s="42"/>
      <c r="AF162" s="45" t="s">
        <v>101</v>
      </c>
      <c r="AG162" s="66"/>
      <c r="AH162" s="45"/>
      <c r="AI162" s="66"/>
      <c r="AJ162" s="127"/>
      <c r="AK162" s="139"/>
      <c r="AL162" s="45"/>
      <c r="AM162" s="66"/>
      <c r="AN162" s="45"/>
      <c r="AO162" s="45"/>
      <c r="AP162" s="45"/>
      <c r="AQ162" s="45"/>
      <c r="AR162" s="45"/>
      <c r="AS162" s="45"/>
      <c r="AT162" s="42"/>
      <c r="AU162" s="42"/>
      <c r="AV162" s="42"/>
      <c r="AW162" s="42"/>
      <c r="AX162" s="42"/>
      <c r="AY162" s="42"/>
      <c r="AZ162" s="42"/>
      <c r="BA162" s="42"/>
      <c r="BB162" s="43"/>
      <c r="BC162" s="43"/>
      <c r="BD162" s="41">
        <v>5.1587301587301584E-2</v>
      </c>
      <c r="BE162" s="138">
        <f t="shared" si="12"/>
        <v>8.6092715231788089E-2</v>
      </c>
      <c r="BF162" s="42"/>
      <c r="BG162" s="43"/>
      <c r="BH162" s="43"/>
      <c r="BI162" s="42"/>
      <c r="BJ162" s="42"/>
      <c r="BK162" s="44"/>
      <c r="BL162" s="42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76"/>
      <c r="CB162" s="276"/>
      <c r="CC162" s="276"/>
      <c r="CD162" s="276"/>
      <c r="CE162" s="276"/>
    </row>
    <row r="163" spans="1:83" s="1" customFormat="1" thickBot="1" x14ac:dyDescent="0.35">
      <c r="A163" s="276"/>
      <c r="B163" s="440"/>
      <c r="C163" s="383" t="s">
        <v>330</v>
      </c>
      <c r="D163" s="384"/>
      <c r="E163" s="385">
        <f t="shared" ref="E163:K163" si="16">$E$159+E162</f>
        <v>0</v>
      </c>
      <c r="F163" s="385">
        <f t="shared" si="16"/>
        <v>91.889999999999986</v>
      </c>
      <c r="G163" s="385">
        <f t="shared" si="16"/>
        <v>85.36999999999999</v>
      </c>
      <c r="H163" s="385">
        <f t="shared" si="16"/>
        <v>115.36999999999999</v>
      </c>
      <c r="I163" s="385">
        <f t="shared" ref="I163" si="17">$E$159+I162</f>
        <v>278.32</v>
      </c>
      <c r="J163" s="385">
        <f t="shared" si="16"/>
        <v>308.32</v>
      </c>
      <c r="K163" s="386">
        <f t="shared" si="16"/>
        <v>501.30999999999995</v>
      </c>
      <c r="L163" s="303"/>
      <c r="M163" s="304"/>
      <c r="N163" s="305"/>
      <c r="O163" s="276"/>
      <c r="P163" s="220" t="s">
        <v>6</v>
      </c>
      <c r="Q163" s="42"/>
      <c r="R163" s="42"/>
      <c r="S163" s="42"/>
      <c r="T163" s="42"/>
      <c r="U163" s="42"/>
      <c r="V163" s="42"/>
      <c r="W163" s="42"/>
      <c r="X163" s="42"/>
      <c r="Y163" s="42" t="s">
        <v>100</v>
      </c>
      <c r="Z163" s="127"/>
      <c r="AA163" s="42"/>
      <c r="AB163" s="127"/>
      <c r="AC163" s="127"/>
      <c r="AD163" s="42"/>
      <c r="AE163" s="42"/>
      <c r="AF163" s="42" t="s">
        <v>100</v>
      </c>
      <c r="AG163" s="65"/>
      <c r="AH163" s="42"/>
      <c r="AI163" s="65"/>
      <c r="AJ163" s="127"/>
      <c r="AK163" s="139"/>
      <c r="AL163" s="42"/>
      <c r="AM163" s="65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3"/>
      <c r="BC163" s="43"/>
      <c r="BD163" s="41">
        <v>0.23809523809523808</v>
      </c>
      <c r="BE163" s="138">
        <f t="shared" si="12"/>
        <v>0.39735099337748353</v>
      </c>
      <c r="BF163" s="42"/>
      <c r="BG163" s="43"/>
      <c r="BH163" s="43"/>
      <c r="BI163" s="42"/>
      <c r="BJ163" s="42"/>
      <c r="BK163" s="44"/>
      <c r="BL163" s="42"/>
      <c r="BM163" s="276"/>
      <c r="BN163" s="276"/>
      <c r="BO163" s="276"/>
      <c r="BP163" s="276"/>
      <c r="BQ163" s="276"/>
      <c r="BR163" s="276"/>
      <c r="BS163" s="276"/>
      <c r="BT163" s="276"/>
      <c r="BU163" s="276"/>
      <c r="BV163" s="276"/>
      <c r="BW163" s="276"/>
      <c r="BX163" s="276"/>
      <c r="BY163" s="276"/>
      <c r="BZ163" s="276"/>
      <c r="CA163" s="276"/>
      <c r="CB163" s="276"/>
      <c r="CC163" s="276"/>
      <c r="CD163" s="276"/>
      <c r="CE163" s="276"/>
    </row>
    <row r="164" spans="1:83" s="1" customFormat="1" thickBot="1" x14ac:dyDescent="0.35">
      <c r="A164" s="276"/>
      <c r="B164" s="441"/>
      <c r="C164" s="383" t="s">
        <v>160</v>
      </c>
      <c r="D164" s="384"/>
      <c r="E164" s="385">
        <f t="shared" ref="E164:K164" si="18">E163-E151</f>
        <v>0</v>
      </c>
      <c r="F164" s="385">
        <f t="shared" si="18"/>
        <v>51.889999999999986</v>
      </c>
      <c r="G164" s="385">
        <f t="shared" si="18"/>
        <v>45.36999999999999</v>
      </c>
      <c r="H164" s="385">
        <f t="shared" si="18"/>
        <v>45.36999999999999</v>
      </c>
      <c r="I164" s="385">
        <f t="shared" ref="I164" si="19">I163-I151</f>
        <v>143.32</v>
      </c>
      <c r="J164" s="385">
        <f t="shared" si="18"/>
        <v>143.32</v>
      </c>
      <c r="K164" s="386">
        <f t="shared" si="18"/>
        <v>201.30999999999995</v>
      </c>
      <c r="L164" s="303"/>
      <c r="M164" s="304"/>
      <c r="N164" s="305"/>
      <c r="O164" s="276"/>
      <c r="P164" s="220" t="s">
        <v>6</v>
      </c>
      <c r="Q164" s="42"/>
      <c r="R164" s="42"/>
      <c r="S164" s="42"/>
      <c r="T164" s="42"/>
      <c r="U164" s="42"/>
      <c r="V164" s="42"/>
      <c r="W164" s="42"/>
      <c r="X164" s="42"/>
      <c r="Y164" s="46">
        <f>Y171+AA172*AE171</f>
        <v>123105.90114068441</v>
      </c>
      <c r="Z164" s="42"/>
      <c r="AA164" s="42"/>
      <c r="AB164" s="42"/>
      <c r="AC164" s="42"/>
      <c r="AD164" s="42"/>
      <c r="AE164" s="42"/>
      <c r="AF164" s="46" t="e">
        <f>AJ171+AJ$197*#REF!</f>
        <v>#REF!</v>
      </c>
      <c r="AG164" s="65"/>
      <c r="AH164" s="42"/>
      <c r="AI164" s="65"/>
      <c r="AJ164" s="42"/>
      <c r="AK164" s="65"/>
      <c r="AL164" s="42"/>
      <c r="AM164" s="65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3"/>
      <c r="BC164" s="43"/>
      <c r="BD164" s="41">
        <f>SUM(BD151:BD163)</f>
        <v>0.59920634920634908</v>
      </c>
      <c r="BE164" s="138">
        <f t="shared" si="12"/>
        <v>1</v>
      </c>
      <c r="BF164" s="42"/>
      <c r="BG164" s="43"/>
      <c r="BH164" s="43"/>
      <c r="BI164" s="42"/>
      <c r="BJ164" s="42"/>
      <c r="BK164" s="44"/>
      <c r="BL164" s="42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76"/>
      <c r="CB164" s="276"/>
      <c r="CC164" s="276"/>
      <c r="CD164" s="276"/>
      <c r="CE164" s="276"/>
    </row>
    <row r="165" spans="1:83" s="2" customFormat="1" x14ac:dyDescent="0.3">
      <c r="A165" s="262"/>
      <c r="B165" s="318"/>
      <c r="C165" s="262"/>
      <c r="D165" s="262"/>
      <c r="E165" s="294"/>
      <c r="F165" s="294"/>
      <c r="G165" s="294"/>
      <c r="H165" s="294"/>
      <c r="I165" s="294"/>
      <c r="J165" s="294"/>
      <c r="K165" s="294"/>
      <c r="L165" s="285"/>
      <c r="M165" s="286"/>
      <c r="N165" s="287"/>
      <c r="O165" s="262"/>
      <c r="P165" s="225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8"/>
      <c r="AD165" s="47"/>
      <c r="AE165" s="47"/>
      <c r="AF165" s="47"/>
      <c r="AG165" s="67"/>
      <c r="AH165" s="47"/>
      <c r="AI165" s="67"/>
      <c r="AJ165" s="47"/>
      <c r="AK165" s="67"/>
      <c r="AL165" s="47"/>
      <c r="AM165" s="67"/>
      <c r="AN165" s="47"/>
      <c r="AO165" s="47"/>
      <c r="AP165" s="47"/>
      <c r="AQ165" s="47"/>
      <c r="AR165" s="47"/>
      <c r="AS165" s="47"/>
      <c r="AT165" s="47"/>
      <c r="AU165" s="47"/>
      <c r="AV165" s="48"/>
      <c r="AW165" s="48"/>
      <c r="AX165" s="47"/>
      <c r="AY165" s="47"/>
      <c r="AZ165" s="48"/>
      <c r="BA165" s="48"/>
      <c r="BB165" s="47"/>
      <c r="BC165" s="47"/>
      <c r="BD165" s="48"/>
      <c r="BE165" s="48"/>
      <c r="BF165" s="47"/>
      <c r="BG165" s="47"/>
      <c r="BH165" s="47"/>
      <c r="BI165" s="48"/>
      <c r="BJ165" s="48"/>
      <c r="BK165" s="49"/>
      <c r="BL165" s="47"/>
      <c r="BM165" s="262"/>
      <c r="BN165" s="262"/>
      <c r="BO165" s="262"/>
      <c r="BP165" s="262"/>
      <c r="BQ165" s="262"/>
      <c r="BR165" s="262"/>
      <c r="BS165" s="262"/>
      <c r="BT165" s="262"/>
      <c r="BU165" s="262"/>
      <c r="BV165" s="262"/>
      <c r="BW165" s="262"/>
      <c r="BX165" s="262"/>
      <c r="BY165" s="262"/>
      <c r="BZ165" s="262"/>
      <c r="CA165" s="262"/>
      <c r="CB165" s="262"/>
      <c r="CC165" s="262"/>
      <c r="CD165" s="262"/>
      <c r="CE165" s="262"/>
    </row>
    <row r="166" spans="1:83" s="2" customFormat="1" collapsed="1" x14ac:dyDescent="0.3">
      <c r="A166" s="277"/>
      <c r="B166" s="262"/>
      <c r="C166" s="262"/>
      <c r="D166" s="262"/>
      <c r="E166" s="294"/>
      <c r="F166" s="294"/>
      <c r="G166" s="294"/>
      <c r="H166" s="319"/>
      <c r="I166" s="319"/>
      <c r="J166" s="319"/>
      <c r="K166" s="319"/>
      <c r="L166" s="306"/>
      <c r="M166" s="307"/>
      <c r="N166" s="308"/>
      <c r="O166" s="309"/>
      <c r="P166" s="226"/>
      <c r="Q166" s="47"/>
      <c r="R166" s="47"/>
      <c r="S166" s="47"/>
      <c r="T166" s="47"/>
      <c r="U166" s="47"/>
      <c r="V166" s="47"/>
      <c r="W166" s="47"/>
      <c r="X166" s="47"/>
      <c r="Y166" s="445" t="s">
        <v>140</v>
      </c>
      <c r="Z166" s="445"/>
      <c r="AA166" s="47"/>
      <c r="AB166" s="47"/>
      <c r="AC166" s="48"/>
      <c r="AD166" s="47"/>
      <c r="AE166" s="47"/>
      <c r="AF166" s="442" t="s">
        <v>137</v>
      </c>
      <c r="AG166" s="443"/>
      <c r="AH166" s="443"/>
      <c r="AI166" s="444"/>
      <c r="AJ166" s="442" t="s">
        <v>138</v>
      </c>
      <c r="AK166" s="443"/>
      <c r="AL166" s="443"/>
      <c r="AM166" s="444"/>
      <c r="AN166" s="47"/>
      <c r="AO166" s="47"/>
      <c r="AP166" s="429" t="s">
        <v>308</v>
      </c>
      <c r="AQ166" s="430"/>
      <c r="AR166" s="430"/>
      <c r="AS166" s="431"/>
      <c r="AT166" s="429" t="s">
        <v>129</v>
      </c>
      <c r="AU166" s="430"/>
      <c r="AV166" s="430"/>
      <c r="AW166" s="431"/>
      <c r="AX166" s="429" t="s">
        <v>56</v>
      </c>
      <c r="AY166" s="430"/>
      <c r="AZ166" s="430"/>
      <c r="BA166" s="431"/>
      <c r="BB166" s="429" t="s">
        <v>58</v>
      </c>
      <c r="BC166" s="430"/>
      <c r="BD166" s="430"/>
      <c r="BE166" s="430"/>
      <c r="BF166" s="428" t="s">
        <v>57</v>
      </c>
      <c r="BG166" s="428"/>
      <c r="BH166" s="428"/>
      <c r="BI166" s="428"/>
      <c r="BJ166" s="428"/>
      <c r="BK166" s="428" t="s">
        <v>59</v>
      </c>
      <c r="BL166" s="428"/>
      <c r="BM166" s="262"/>
      <c r="BN166" s="262"/>
      <c r="BO166" s="262"/>
      <c r="BP166" s="262"/>
      <c r="BQ166" s="262"/>
      <c r="BR166" s="262"/>
      <c r="BS166" s="262"/>
      <c r="BT166" s="262"/>
      <c r="BU166" s="262"/>
      <c r="BV166" s="262"/>
      <c r="BW166" s="262"/>
      <c r="BX166" s="262"/>
      <c r="BY166" s="262"/>
      <c r="BZ166" s="262"/>
      <c r="CA166" s="262"/>
      <c r="CB166" s="262"/>
      <c r="CC166" s="262"/>
      <c r="CD166" s="262"/>
      <c r="CE166" s="262"/>
    </row>
    <row r="167" spans="1:83" s="2" customFormat="1" x14ac:dyDescent="0.3">
      <c r="A167" s="277"/>
      <c r="B167" s="320" t="s">
        <v>20</v>
      </c>
      <c r="C167" s="262"/>
      <c r="D167" s="262"/>
      <c r="E167" s="294"/>
      <c r="F167" s="294"/>
      <c r="G167" s="294"/>
      <c r="H167" s="319"/>
      <c r="I167" s="319"/>
      <c r="J167" s="319"/>
      <c r="K167" s="288" t="s">
        <v>301</v>
      </c>
      <c r="L167" s="306"/>
      <c r="M167" s="307"/>
      <c r="N167" s="308"/>
      <c r="O167" s="309"/>
      <c r="P167" s="226"/>
      <c r="Q167" s="47"/>
      <c r="R167" s="140" t="s">
        <v>40</v>
      </c>
      <c r="S167" s="140" t="s">
        <v>41</v>
      </c>
      <c r="T167" s="140" t="s">
        <v>21</v>
      </c>
      <c r="U167" s="140" t="s">
        <v>43</v>
      </c>
      <c r="V167" s="140" t="s">
        <v>42</v>
      </c>
      <c r="W167" s="140" t="s">
        <v>44</v>
      </c>
      <c r="X167" s="140" t="s">
        <v>45</v>
      </c>
      <c r="Y167" s="140" t="s">
        <v>46</v>
      </c>
      <c r="Z167" s="140" t="s">
        <v>49</v>
      </c>
      <c r="AA167" s="140" t="s">
        <v>53</v>
      </c>
      <c r="AB167" s="140" t="s">
        <v>48</v>
      </c>
      <c r="AC167" s="141" t="s">
        <v>50</v>
      </c>
      <c r="AD167" s="140" t="s">
        <v>55</v>
      </c>
      <c r="AE167" s="140" t="s">
        <v>54</v>
      </c>
      <c r="AF167" s="140" t="s">
        <v>139</v>
      </c>
      <c r="AG167" s="142" t="s">
        <v>47</v>
      </c>
      <c r="AH167" s="140" t="s">
        <v>49</v>
      </c>
      <c r="AI167" s="142" t="s">
        <v>47</v>
      </c>
      <c r="AJ167" s="140" t="s">
        <v>139</v>
      </c>
      <c r="AK167" s="142" t="s">
        <v>47</v>
      </c>
      <c r="AL167" s="140" t="s">
        <v>49</v>
      </c>
      <c r="AM167" s="142" t="s">
        <v>47</v>
      </c>
      <c r="AN167" s="140" t="s">
        <v>51</v>
      </c>
      <c r="AO167" s="140" t="s">
        <v>52</v>
      </c>
      <c r="AP167" s="140" t="s">
        <v>23</v>
      </c>
      <c r="AQ167" s="140" t="s">
        <v>98</v>
      </c>
      <c r="AR167" s="141" t="s">
        <v>22</v>
      </c>
      <c r="AS167" s="141" t="s">
        <v>99</v>
      </c>
      <c r="AT167" s="140" t="s">
        <v>23</v>
      </c>
      <c r="AU167" s="140" t="s">
        <v>98</v>
      </c>
      <c r="AV167" s="141" t="s">
        <v>22</v>
      </c>
      <c r="AW167" s="141" t="s">
        <v>99</v>
      </c>
      <c r="AX167" s="140" t="s">
        <v>23</v>
      </c>
      <c r="AY167" s="140" t="s">
        <v>98</v>
      </c>
      <c r="AZ167" s="141" t="s">
        <v>22</v>
      </c>
      <c r="BA167" s="141" t="s">
        <v>99</v>
      </c>
      <c r="BB167" s="140" t="s">
        <v>23</v>
      </c>
      <c r="BC167" s="140" t="s">
        <v>98</v>
      </c>
      <c r="BD167" s="141" t="s">
        <v>22</v>
      </c>
      <c r="BE167" s="141" t="s">
        <v>99</v>
      </c>
      <c r="BF167" s="140" t="s">
        <v>130</v>
      </c>
      <c r="BG167" s="140" t="s">
        <v>23</v>
      </c>
      <c r="BH167" s="140" t="s">
        <v>98</v>
      </c>
      <c r="BI167" s="141" t="s">
        <v>22</v>
      </c>
      <c r="BJ167" s="141" t="s">
        <v>99</v>
      </c>
      <c r="BK167" s="143" t="s">
        <v>23</v>
      </c>
      <c r="BL167" s="140" t="s">
        <v>60</v>
      </c>
      <c r="BM167" s="262"/>
      <c r="BN167" s="262"/>
      <c r="BO167" s="262"/>
      <c r="BP167" s="262"/>
      <c r="BQ167" s="262"/>
      <c r="BR167" s="262"/>
      <c r="BS167" s="262"/>
      <c r="BT167" s="262"/>
      <c r="BU167" s="262"/>
      <c r="BV167" s="262"/>
      <c r="BW167" s="262"/>
      <c r="BX167" s="262"/>
      <c r="BY167" s="262"/>
      <c r="BZ167" s="262"/>
      <c r="CA167" s="262"/>
      <c r="CB167" s="262"/>
      <c r="CC167" s="262"/>
      <c r="CD167" s="262"/>
      <c r="CE167" s="262"/>
    </row>
    <row r="168" spans="1:83" s="144" customFormat="1" x14ac:dyDescent="0.3">
      <c r="A168" s="278"/>
      <c r="B168" s="288"/>
      <c r="C168" s="288"/>
      <c r="D168" s="288"/>
      <c r="E168" s="288" t="s">
        <v>40</v>
      </c>
      <c r="F168" s="288" t="s">
        <v>21</v>
      </c>
      <c r="G168" s="391" t="s">
        <v>106</v>
      </c>
      <c r="H168" s="392" t="s">
        <v>104</v>
      </c>
      <c r="I168" s="284" t="s">
        <v>105</v>
      </c>
      <c r="J168" s="390" t="s">
        <v>165</v>
      </c>
      <c r="K168" s="389" t="s">
        <v>300</v>
      </c>
      <c r="L168" s="321" t="s">
        <v>102</v>
      </c>
      <c r="M168" s="310" t="s">
        <v>103</v>
      </c>
      <c r="N168" s="311"/>
      <c r="O168" s="309"/>
      <c r="P168" s="227"/>
      <c r="Q168" s="145"/>
      <c r="R168" s="146">
        <v>0</v>
      </c>
      <c r="S168" s="147">
        <f>WEEKDAY(T168)</f>
        <v>4</v>
      </c>
      <c r="T168" s="148">
        <v>44314</v>
      </c>
      <c r="U168" s="149">
        <v>0.66666666666666663</v>
      </c>
      <c r="V168" s="150">
        <f t="shared" ref="V168:V190" si="20">T168+U168</f>
        <v>44314.666666666664</v>
      </c>
      <c r="W168" s="151"/>
      <c r="X168" s="151"/>
      <c r="Y168" s="152">
        <v>0</v>
      </c>
      <c r="Z168" s="76">
        <v>0</v>
      </c>
      <c r="AA168" s="153"/>
      <c r="AB168" s="154"/>
      <c r="AC168" s="155"/>
      <c r="AD168" s="156"/>
      <c r="AE168" s="155"/>
      <c r="AF168" s="154">
        <f>AK168</f>
        <v>0</v>
      </c>
      <c r="AG168" s="157"/>
      <c r="AH168" s="158"/>
      <c r="AI168" s="158"/>
      <c r="AJ168" s="154"/>
      <c r="AK168" s="157"/>
      <c r="AL168" s="158"/>
      <c r="AM168" s="158"/>
      <c r="AN168" s="154"/>
      <c r="AO168" s="154"/>
      <c r="AP168" s="154"/>
      <c r="AQ168" s="154"/>
      <c r="AR168" s="154"/>
      <c r="AS168" s="154"/>
      <c r="AT168" s="159">
        <v>0</v>
      </c>
      <c r="AU168" s="159">
        <v>0</v>
      </c>
      <c r="AV168" s="160">
        <v>0</v>
      </c>
      <c r="AW168" s="160"/>
      <c r="AX168" s="159">
        <v>0</v>
      </c>
      <c r="AY168" s="159">
        <v>0</v>
      </c>
      <c r="AZ168" s="160">
        <v>0</v>
      </c>
      <c r="BA168" s="160"/>
      <c r="BB168" s="159">
        <f>AN168/$Y$190</f>
        <v>0</v>
      </c>
      <c r="BC168" s="159">
        <f>BB168</f>
        <v>0</v>
      </c>
      <c r="BD168" s="160">
        <f>AT168/$Z$195</f>
        <v>0</v>
      </c>
      <c r="BE168" s="160"/>
      <c r="BF168" s="161">
        <f>Vergleich!C3</f>
        <v>0</v>
      </c>
      <c r="BG168" s="88"/>
      <c r="BH168" s="159">
        <f>BG168</f>
        <v>0</v>
      </c>
      <c r="BI168" s="162"/>
      <c r="BJ168" s="160"/>
      <c r="BK168" s="161"/>
      <c r="BL168" s="159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</row>
    <row r="169" spans="1:83" s="163" customFormat="1" x14ac:dyDescent="0.3">
      <c r="A169" s="279"/>
      <c r="B169" s="289"/>
      <c r="C169" s="289"/>
      <c r="D169" s="289"/>
      <c r="E169" s="284">
        <v>0</v>
      </c>
      <c r="F169" s="401">
        <f>V168</f>
        <v>44314.666666666664</v>
      </c>
      <c r="G169" s="322">
        <f>Y168</f>
        <v>0</v>
      </c>
      <c r="H169" s="323">
        <f>AF168</f>
        <v>0</v>
      </c>
      <c r="I169" s="323">
        <f>AJ168</f>
        <v>0</v>
      </c>
      <c r="J169" s="289">
        <v>0</v>
      </c>
      <c r="K169" s="289"/>
      <c r="L169" s="324">
        <f t="shared" ref="L169:L190" si="21">G169/G$190</f>
        <v>0</v>
      </c>
      <c r="M169" s="312"/>
      <c r="N169" s="313"/>
      <c r="O169" s="309"/>
      <c r="P169" s="228"/>
      <c r="Q169" s="98"/>
      <c r="R169" s="146">
        <v>0</v>
      </c>
      <c r="S169" s="147">
        <f>WEEKDAY(T169)</f>
        <v>4</v>
      </c>
      <c r="T169" s="148">
        <v>44314</v>
      </c>
      <c r="U169" s="149">
        <v>0.99998842592592585</v>
      </c>
      <c r="V169" s="150">
        <f t="shared" si="20"/>
        <v>44314.999988425923</v>
      </c>
      <c r="W169" s="151">
        <f t="shared" ref="W169:W190" si="22">V169-$V$168</f>
        <v>0.333321759258979</v>
      </c>
      <c r="X169" s="151"/>
      <c r="Y169" s="164">
        <v>75090</v>
      </c>
      <c r="Z169" s="165">
        <v>510</v>
      </c>
      <c r="AA169" s="166"/>
      <c r="AB169" s="154"/>
      <c r="AC169" s="155">
        <f t="shared" ref="AC169:AC190" si="23">Y169/Z169</f>
        <v>147.23529411764707</v>
      </c>
      <c r="AD169" s="156" t="e">
        <f>(AB169-Y168)/(AA169-Z168)</f>
        <v>#DIV/0!</v>
      </c>
      <c r="AE169" s="155" t="e">
        <f>SUM(AB169)/SUM(AA169)</f>
        <v>#DIV/0!</v>
      </c>
      <c r="AF169" s="154">
        <f>Y169</f>
        <v>75090</v>
      </c>
      <c r="AG169" s="157">
        <f>Y169-AF169</f>
        <v>0</v>
      </c>
      <c r="AH169" s="167">
        <f>AA169</f>
        <v>0</v>
      </c>
      <c r="AI169" s="168">
        <f>Z169-AH169</f>
        <v>510</v>
      </c>
      <c r="AJ169" s="154">
        <f>AF169</f>
        <v>75090</v>
      </c>
      <c r="AK169" s="157">
        <f t="shared" ref="AK169:AK170" si="24">Y169-AJ169</f>
        <v>0</v>
      </c>
      <c r="AL169" s="168">
        <f>AH169</f>
        <v>0</v>
      </c>
      <c r="AM169" s="168">
        <f>Z169-AL169</f>
        <v>510</v>
      </c>
      <c r="AN169" s="154">
        <f>AB169/W169</f>
        <v>0</v>
      </c>
      <c r="AO169" s="154">
        <f t="shared" ref="AO169:AO190" si="25">Y169/W169</f>
        <v>225277.82214679173</v>
      </c>
      <c r="AP169" s="154"/>
      <c r="AQ169" s="154"/>
      <c r="AR169" s="154"/>
      <c r="AS169" s="154"/>
      <c r="AT169" s="159">
        <v>0</v>
      </c>
      <c r="AU169" s="159">
        <v>0</v>
      </c>
      <c r="AV169" s="160">
        <v>0</v>
      </c>
      <c r="AW169" s="160">
        <v>0</v>
      </c>
      <c r="AX169" s="159">
        <v>0.24557122124840888</v>
      </c>
      <c r="AY169" s="159">
        <v>0.24557122124840888</v>
      </c>
      <c r="AZ169" s="160">
        <v>0.24159021406727829</v>
      </c>
      <c r="BA169" s="160">
        <v>0.24159021406727829</v>
      </c>
      <c r="BB169" s="159">
        <v>0.20305967479960829</v>
      </c>
      <c r="BC169" s="159">
        <f>BC168+BB169</f>
        <v>0.20305967479960829</v>
      </c>
      <c r="BD169" s="160">
        <v>0.18386243386243387</v>
      </c>
      <c r="BE169" s="160">
        <f>BD169</f>
        <v>0.18386243386243387</v>
      </c>
      <c r="BF169" s="161"/>
      <c r="BG169" s="159">
        <v>0.20659234902558346</v>
      </c>
      <c r="BH169" s="159">
        <f>BH168+BG169</f>
        <v>0.20659234902558346</v>
      </c>
      <c r="BI169" s="160">
        <v>0.1729106628242075</v>
      </c>
      <c r="BJ169" s="160"/>
      <c r="BK169" s="161"/>
      <c r="BL169" s="15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</row>
    <row r="170" spans="1:83" s="163" customFormat="1" x14ac:dyDescent="0.3">
      <c r="A170" s="279"/>
      <c r="B170" s="289"/>
      <c r="C170" s="289"/>
      <c r="D170" s="289"/>
      <c r="E170" s="284">
        <v>1</v>
      </c>
      <c r="F170" s="401">
        <f>V170</f>
        <v>44315.666666666664</v>
      </c>
      <c r="G170" s="322">
        <f t="shared" ref="G170:G190" si="26">Y170</f>
        <v>89735</v>
      </c>
      <c r="H170" s="323">
        <f t="shared" ref="H170:H189" si="27">AF170</f>
        <v>89735</v>
      </c>
      <c r="I170" s="323">
        <f t="shared" ref="I170:I190" si="28">AJ170</f>
        <v>89735</v>
      </c>
      <c r="J170" s="325">
        <v>43437</v>
      </c>
      <c r="K170" s="325"/>
      <c r="L170" s="324">
        <f t="shared" si="21"/>
        <v>0.32743831170996351</v>
      </c>
      <c r="M170" s="312">
        <f t="shared" ref="M170:M190" si="29">L170-L169</f>
        <v>0.32743831170996351</v>
      </c>
      <c r="N170" s="313"/>
      <c r="O170" s="309"/>
      <c r="P170" s="228"/>
      <c r="Q170" s="98"/>
      <c r="R170" s="169">
        <v>1</v>
      </c>
      <c r="S170" s="147" t="s">
        <v>19</v>
      </c>
      <c r="T170" s="148">
        <f>T168+1</f>
        <v>44315</v>
      </c>
      <c r="U170" s="149">
        <v>0.66666666666666663</v>
      </c>
      <c r="V170" s="150">
        <f t="shared" si="20"/>
        <v>44315.666666666664</v>
      </c>
      <c r="W170" s="151">
        <f t="shared" si="22"/>
        <v>1</v>
      </c>
      <c r="X170" s="151">
        <f>W170-W168</f>
        <v>1</v>
      </c>
      <c r="Y170" s="164">
        <v>89735</v>
      </c>
      <c r="Z170" s="165">
        <v>625</v>
      </c>
      <c r="AA170" s="166">
        <f>Z170-Z168</f>
        <v>625</v>
      </c>
      <c r="AB170" s="154">
        <f>Y170-Y168</f>
        <v>89735</v>
      </c>
      <c r="AC170" s="155">
        <f t="shared" si="23"/>
        <v>143.57599999999999</v>
      </c>
      <c r="AD170" s="156">
        <f>(AB170-Y168)/(AA170-Z168)</f>
        <v>143.57599999999999</v>
      </c>
      <c r="AE170" s="156">
        <f>SUM(AB169:AB170)/SUM(AA169:AA170)</f>
        <v>143.57599999999999</v>
      </c>
      <c r="AF170" s="154">
        <f>Y170</f>
        <v>89735</v>
      </c>
      <c r="AG170" s="157">
        <f>Y170-AF170</f>
        <v>0</v>
      </c>
      <c r="AH170" s="168">
        <f>AA170</f>
        <v>625</v>
      </c>
      <c r="AI170" s="170">
        <f t="shared" ref="AI170:AI176" si="30">Z170-AH170</f>
        <v>0</v>
      </c>
      <c r="AJ170" s="154">
        <f>AF170</f>
        <v>89735</v>
      </c>
      <c r="AK170" s="157">
        <f t="shared" si="24"/>
        <v>0</v>
      </c>
      <c r="AL170" s="168">
        <f>AH170</f>
        <v>625</v>
      </c>
      <c r="AM170" s="170">
        <f t="shared" ref="AM170:AM189" si="31">Z170-AL170</f>
        <v>0</v>
      </c>
      <c r="AN170" s="154">
        <f t="shared" ref="AN170:AN190" si="32">AB170/X170</f>
        <v>89735</v>
      </c>
      <c r="AO170" s="154">
        <f t="shared" si="25"/>
        <v>89735</v>
      </c>
      <c r="AP170" s="159">
        <f>AB170/$Y$190</f>
        <v>0.32743831170996351</v>
      </c>
      <c r="AQ170" s="159">
        <f>Y170/$Y$190</f>
        <v>0.32743831170996351</v>
      </c>
      <c r="AR170" s="160">
        <f>AA170/$AA$191</f>
        <v>0.3250130005200208</v>
      </c>
      <c r="AS170" s="160">
        <f>AR170</f>
        <v>0.3250130005200208</v>
      </c>
      <c r="AT170" s="159">
        <v>0.217908689903446</v>
      </c>
      <c r="AU170" s="159">
        <v>0.21790868990344553</v>
      </c>
      <c r="AV170" s="160">
        <v>0.23279352226720648</v>
      </c>
      <c r="AW170" s="160">
        <v>0.23279352226720648</v>
      </c>
      <c r="AX170" s="159">
        <v>4.9561783997210986E-2</v>
      </c>
      <c r="AY170" s="159">
        <v>0.29513300524561986</v>
      </c>
      <c r="AZ170" s="160">
        <v>5.657492354740061E-2</v>
      </c>
      <c r="BA170" s="160">
        <v>0.29816513761467889</v>
      </c>
      <c r="BB170" s="159">
        <v>5.1641540743868043E-2</v>
      </c>
      <c r="BC170" s="159">
        <f t="shared" ref="BC170:BC190" si="33">BC169+BB170</f>
        <v>0.25470121554347636</v>
      </c>
      <c r="BD170" s="160">
        <v>5.2910052910052907E-2</v>
      </c>
      <c r="BE170" s="160">
        <f>SUM(BD$168:BD170)</f>
        <v>0.23677248677248677</v>
      </c>
      <c r="BF170" s="161">
        <f>Vergleich!C4</f>
        <v>14771</v>
      </c>
      <c r="BG170" s="159">
        <v>3.0331221429144267E-2</v>
      </c>
      <c r="BH170" s="159">
        <f t="shared" ref="BH170:BH190" si="34">BH169+BG170</f>
        <v>0.23692357045472773</v>
      </c>
      <c r="BI170" s="160">
        <v>3.7463976945244948E-2</v>
      </c>
      <c r="BJ170" s="160">
        <f>SUM(BI$168:BI170)</f>
        <v>0.21037463976945245</v>
      </c>
      <c r="BK170" s="161"/>
      <c r="BL170" s="159"/>
      <c r="BM170" s="289"/>
      <c r="BN170" s="289"/>
      <c r="BO170" s="289"/>
      <c r="BP170" s="289"/>
      <c r="BQ170" s="289"/>
      <c r="BR170" s="289"/>
      <c r="BS170" s="289"/>
      <c r="BT170" s="289"/>
      <c r="BU170" s="289"/>
      <c r="BV170" s="289"/>
      <c r="BW170" s="289"/>
      <c r="BX170" s="289"/>
      <c r="BY170" s="289"/>
      <c r="BZ170" s="289"/>
      <c r="CA170" s="289"/>
      <c r="CB170" s="289"/>
      <c r="CC170" s="289"/>
      <c r="CD170" s="289"/>
      <c r="CE170" s="289"/>
    </row>
    <row r="171" spans="1:83" s="163" customFormat="1" x14ac:dyDescent="0.3">
      <c r="A171" s="279"/>
      <c r="B171" s="289"/>
      <c r="C171" s="289"/>
      <c r="D171" s="289"/>
      <c r="E171" s="284">
        <v>2</v>
      </c>
      <c r="F171" s="401">
        <f t="shared" ref="F171:F190" si="35">V171</f>
        <v>44316.666666666664</v>
      </c>
      <c r="G171" s="322">
        <f t="shared" si="26"/>
        <v>114003</v>
      </c>
      <c r="H171" s="323">
        <f t="shared" si="27"/>
        <v>114003</v>
      </c>
      <c r="I171" s="323">
        <f t="shared" si="28"/>
        <v>114003</v>
      </c>
      <c r="J171" s="325">
        <v>49522</v>
      </c>
      <c r="K171" s="325">
        <v>65000</v>
      </c>
      <c r="L171" s="324">
        <f t="shared" si="21"/>
        <v>0.4159909717487153</v>
      </c>
      <c r="M171" s="312">
        <f t="shared" si="29"/>
        <v>8.8552660038751785E-2</v>
      </c>
      <c r="N171" s="313"/>
      <c r="O171" s="309"/>
      <c r="P171" s="228"/>
      <c r="Q171" s="98"/>
      <c r="R171" s="169">
        <v>2</v>
      </c>
      <c r="S171" s="171">
        <f t="shared" ref="S171:S190" si="36">WEEKDAY(T171)</f>
        <v>6</v>
      </c>
      <c r="T171" s="148">
        <f t="shared" ref="T171:T190" si="37">T170+1</f>
        <v>44316</v>
      </c>
      <c r="U171" s="149">
        <v>0.66666666666666663</v>
      </c>
      <c r="V171" s="150">
        <f t="shared" si="20"/>
        <v>44316.666666666664</v>
      </c>
      <c r="W171" s="151">
        <f t="shared" si="22"/>
        <v>2</v>
      </c>
      <c r="X171" s="151">
        <f t="shared" ref="X171:X190" si="38">W171-W170</f>
        <v>1</v>
      </c>
      <c r="Y171" s="164">
        <v>114003</v>
      </c>
      <c r="Z171" s="165">
        <v>789</v>
      </c>
      <c r="AA171" s="166">
        <f>Z171-Z170</f>
        <v>164</v>
      </c>
      <c r="AB171" s="154">
        <f t="shared" ref="AB171:AB190" si="39">Y171-Y170</f>
        <v>24268</v>
      </c>
      <c r="AC171" s="155">
        <f t="shared" si="23"/>
        <v>144.49049429657794</v>
      </c>
      <c r="AD171" s="156">
        <f t="shared" ref="AD171:AD191" si="40">AB171/AA171</f>
        <v>147.97560975609755</v>
      </c>
      <c r="AE171" s="156">
        <f>SUM(AB169:AB171)/SUM(AA169:AA171)</f>
        <v>144.49049429657794</v>
      </c>
      <c r="AF171" s="154">
        <f t="shared" ref="AF171:AF172" si="41">Y171</f>
        <v>114003</v>
      </c>
      <c r="AG171" s="157">
        <f t="shared" ref="AG171" si="42">Y171-AF171</f>
        <v>0</v>
      </c>
      <c r="AH171" s="168">
        <f>AH170+AA171</f>
        <v>789</v>
      </c>
      <c r="AI171" s="170">
        <f t="shared" si="30"/>
        <v>0</v>
      </c>
      <c r="AJ171" s="154">
        <f t="shared" ref="AJ171:AJ172" si="43">AF171</f>
        <v>114003</v>
      </c>
      <c r="AK171" s="157">
        <f t="shared" ref="AK171:AK172" si="44">Y171-AJ171</f>
        <v>0</v>
      </c>
      <c r="AL171" s="168">
        <f t="shared" ref="AL171:AL172" si="45">AH171</f>
        <v>789</v>
      </c>
      <c r="AM171" s="170">
        <f t="shared" si="31"/>
        <v>0</v>
      </c>
      <c r="AN171" s="154">
        <f t="shared" si="32"/>
        <v>24268</v>
      </c>
      <c r="AO171" s="154">
        <f t="shared" si="25"/>
        <v>57001.5</v>
      </c>
      <c r="AP171" s="159">
        <f t="shared" ref="AP171:AP191" si="46">AB171/$Y$190</f>
        <v>8.8552660038751813E-2</v>
      </c>
      <c r="AQ171" s="172">
        <f t="shared" ref="AQ171:AQ190" si="47">Y171/$Y$190</f>
        <v>0.4159909717487153</v>
      </c>
      <c r="AR171" s="160">
        <f>AA171/$AA$191</f>
        <v>8.5283411336453452E-2</v>
      </c>
      <c r="AS171" s="160">
        <f>AS170+AR171</f>
        <v>0.41029641185647425</v>
      </c>
      <c r="AT171" s="159">
        <v>5.4666059266008156E-2</v>
      </c>
      <c r="AU171" s="172">
        <v>0.27257474916945368</v>
      </c>
      <c r="AV171" s="160">
        <v>6.0728744939271252E-2</v>
      </c>
      <c r="AW171" s="160">
        <v>0.29352226720647773</v>
      </c>
      <c r="AX171" s="159">
        <v>5.0729278990765438E-2</v>
      </c>
      <c r="AY171" s="172">
        <v>0.34586228423638532</v>
      </c>
      <c r="AZ171" s="160">
        <v>5.8103975535168197E-2</v>
      </c>
      <c r="BA171" s="160">
        <v>0.35626911314984711</v>
      </c>
      <c r="BB171" s="159">
        <v>3.5680569481825485E-2</v>
      </c>
      <c r="BC171" s="172">
        <f t="shared" si="33"/>
        <v>0.29038178502530182</v>
      </c>
      <c r="BD171" s="160">
        <v>3.5714285714285712E-2</v>
      </c>
      <c r="BE171" s="160">
        <f>SUM(BD$168:BD171)</f>
        <v>0.2724867724867725</v>
      </c>
      <c r="BF171" s="161">
        <f>Vergleich!C5</f>
        <v>16764</v>
      </c>
      <c r="BG171" s="159">
        <v>3.1967278851551872E-2</v>
      </c>
      <c r="BH171" s="172">
        <f t="shared" si="34"/>
        <v>0.2688908493062796</v>
      </c>
      <c r="BI171" s="160">
        <v>2.5936599423631135E-2</v>
      </c>
      <c r="BJ171" s="160">
        <f>SUM(BI$168:BI171)</f>
        <v>0.23631123919308358</v>
      </c>
      <c r="BK171" s="161">
        <v>65000</v>
      </c>
      <c r="BL171" s="172">
        <f>K171/$BK$191</f>
        <v>0.22773696030719964</v>
      </c>
      <c r="BM171" s="289"/>
      <c r="BN171" s="289"/>
      <c r="BO171" s="289"/>
      <c r="BP171" s="289"/>
      <c r="BQ171" s="289"/>
      <c r="BR171" s="289"/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</row>
    <row r="172" spans="1:83" s="163" customFormat="1" x14ac:dyDescent="0.3">
      <c r="A172" s="279"/>
      <c r="B172" s="289"/>
      <c r="C172" s="289"/>
      <c r="D172" s="289"/>
      <c r="E172" s="284">
        <v>3</v>
      </c>
      <c r="F172" s="401">
        <f t="shared" si="35"/>
        <v>44317.666666666664</v>
      </c>
      <c r="G172" s="322">
        <f t="shared" si="26"/>
        <v>122519</v>
      </c>
      <c r="H172" s="323">
        <f t="shared" si="27"/>
        <v>122519</v>
      </c>
      <c r="I172" s="323">
        <f t="shared" si="28"/>
        <v>122519</v>
      </c>
      <c r="J172" s="325">
        <v>53901</v>
      </c>
      <c r="K172" s="325"/>
      <c r="L172" s="324">
        <f t="shared" si="21"/>
        <v>0.44706540939870754</v>
      </c>
      <c r="M172" s="312">
        <f t="shared" si="29"/>
        <v>3.1074437649992237E-2</v>
      </c>
      <c r="N172" s="313"/>
      <c r="O172" s="314"/>
      <c r="P172" s="229"/>
      <c r="Q172" s="98"/>
      <c r="R172" s="169">
        <v>3</v>
      </c>
      <c r="S172" s="171">
        <f t="shared" si="36"/>
        <v>7</v>
      </c>
      <c r="T172" s="148">
        <f t="shared" si="37"/>
        <v>44317</v>
      </c>
      <c r="U172" s="149">
        <v>0.66666666666666663</v>
      </c>
      <c r="V172" s="150">
        <f t="shared" si="20"/>
        <v>44317.666666666664</v>
      </c>
      <c r="W172" s="151">
        <f t="shared" si="22"/>
        <v>3</v>
      </c>
      <c r="X172" s="151">
        <f t="shared" si="38"/>
        <v>1</v>
      </c>
      <c r="Y172" s="164">
        <v>122519</v>
      </c>
      <c r="Z172" s="165">
        <v>852</v>
      </c>
      <c r="AA172" s="166">
        <f t="shared" ref="AA172:AA189" si="48">Z172-Z171</f>
        <v>63</v>
      </c>
      <c r="AB172" s="154">
        <f t="shared" si="39"/>
        <v>8516</v>
      </c>
      <c r="AC172" s="155">
        <f t="shared" si="23"/>
        <v>143.80164319248826</v>
      </c>
      <c r="AD172" s="156">
        <f t="shared" si="40"/>
        <v>135.17460317460316</v>
      </c>
      <c r="AE172" s="156">
        <f>SUM(AB169:AB172)/SUM(AA169:AA172)</f>
        <v>143.80164319248826</v>
      </c>
      <c r="AF172" s="154">
        <f t="shared" si="41"/>
        <v>122519</v>
      </c>
      <c r="AG172" s="157">
        <f>Y172-AF172</f>
        <v>0</v>
      </c>
      <c r="AH172" s="168">
        <f t="shared" ref="AH172:AH175" si="49">AH171+AA172</f>
        <v>852</v>
      </c>
      <c r="AI172" s="170">
        <f t="shared" si="30"/>
        <v>0</v>
      </c>
      <c r="AJ172" s="154">
        <f t="shared" si="43"/>
        <v>122519</v>
      </c>
      <c r="AK172" s="157">
        <f t="shared" si="44"/>
        <v>0</v>
      </c>
      <c r="AL172" s="168">
        <f t="shared" si="45"/>
        <v>852</v>
      </c>
      <c r="AM172" s="170">
        <f t="shared" ref="AM172" si="50">Z172-AL172</f>
        <v>0</v>
      </c>
      <c r="AN172" s="154">
        <f t="shared" si="32"/>
        <v>8516</v>
      </c>
      <c r="AO172" s="154">
        <f t="shared" si="25"/>
        <v>40839.666666666664</v>
      </c>
      <c r="AP172" s="159">
        <f t="shared" si="46"/>
        <v>3.1074437649992192E-2</v>
      </c>
      <c r="AQ172" s="159">
        <f t="shared" si="47"/>
        <v>0.44706540939870754</v>
      </c>
      <c r="AR172" s="160">
        <f t="shared" ref="AR172:AR191" si="51">AA172/$AA$191</f>
        <v>3.2761310452418098E-2</v>
      </c>
      <c r="AS172" s="160">
        <f t="shared" ref="AS172:AS190" si="52">AS171+AR172</f>
        <v>0.44305772230889234</v>
      </c>
      <c r="AT172" s="159">
        <v>3.4877390251219428E-2</v>
      </c>
      <c r="AU172" s="159">
        <v>0.30745213942067312</v>
      </c>
      <c r="AV172" s="160">
        <v>3.4412955465587043E-2</v>
      </c>
      <c r="AW172" s="160">
        <v>0.32793522267206476</v>
      </c>
      <c r="AX172" s="159">
        <v>2.1193277174662115E-2</v>
      </c>
      <c r="AY172" s="159">
        <v>0.36705556141104745</v>
      </c>
      <c r="AZ172" s="160">
        <v>2.2935779816513763E-2</v>
      </c>
      <c r="BA172" s="160">
        <v>0.37920489296636084</v>
      </c>
      <c r="BB172" s="159">
        <v>2.5677109903190436E-2</v>
      </c>
      <c r="BC172" s="159">
        <f t="shared" si="33"/>
        <v>0.31605889492849226</v>
      </c>
      <c r="BD172" s="160">
        <v>2.3809523809523808E-2</v>
      </c>
      <c r="BE172" s="160">
        <f>SUM(BD$168:BD172)</f>
        <v>0.29629629629629628</v>
      </c>
      <c r="BF172" s="161">
        <f>Vergleich!C6</f>
        <v>17674</v>
      </c>
      <c r="BG172" s="159">
        <v>3.3956211404282621E-2</v>
      </c>
      <c r="BH172" s="159">
        <f t="shared" si="34"/>
        <v>0.30284706071056222</v>
      </c>
      <c r="BI172" s="160">
        <v>3.746397694524492E-2</v>
      </c>
      <c r="BJ172" s="160">
        <f>SUM(BI$168:BI172)</f>
        <v>0.2737752161383285</v>
      </c>
      <c r="BK172" s="161"/>
      <c r="BL172" s="159"/>
      <c r="BM172" s="289"/>
      <c r="BN172" s="289"/>
      <c r="BO172" s="289"/>
      <c r="BP172" s="289"/>
      <c r="BQ172" s="289"/>
      <c r="BR172" s="289"/>
      <c r="BS172" s="289"/>
      <c r="BT172" s="289"/>
      <c r="BU172" s="289"/>
      <c r="BV172" s="289"/>
      <c r="BW172" s="289"/>
      <c r="BX172" s="289"/>
      <c r="BY172" s="289"/>
      <c r="BZ172" s="289"/>
      <c r="CA172" s="289"/>
      <c r="CB172" s="289"/>
      <c r="CC172" s="289"/>
      <c r="CD172" s="289"/>
      <c r="CE172" s="289"/>
    </row>
    <row r="173" spans="1:83" s="163" customFormat="1" x14ac:dyDescent="0.3">
      <c r="A173" s="279"/>
      <c r="B173" s="289"/>
      <c r="C173" s="289"/>
      <c r="D173" s="289"/>
      <c r="E173" s="284">
        <v>4</v>
      </c>
      <c r="F173" s="401">
        <f t="shared" si="35"/>
        <v>44318.666666666664</v>
      </c>
      <c r="G173" s="322">
        <f t="shared" si="26"/>
        <v>127604</v>
      </c>
      <c r="H173" s="323">
        <f t="shared" si="27"/>
        <v>127604</v>
      </c>
      <c r="I173" s="323">
        <f t="shared" si="28"/>
        <v>127604</v>
      </c>
      <c r="J173" s="325">
        <v>59963</v>
      </c>
      <c r="K173" s="325"/>
      <c r="L173" s="324">
        <f t="shared" si="21"/>
        <v>0.46562030787806524</v>
      </c>
      <c r="M173" s="312">
        <f t="shared" si="29"/>
        <v>1.8554898479357707E-2</v>
      </c>
      <c r="N173" s="313"/>
      <c r="O173" s="314"/>
      <c r="P173" s="229"/>
      <c r="Q173" s="98"/>
      <c r="R173" s="169">
        <v>4</v>
      </c>
      <c r="S173" s="171">
        <f t="shared" si="36"/>
        <v>1</v>
      </c>
      <c r="T173" s="148">
        <f t="shared" si="37"/>
        <v>44318</v>
      </c>
      <c r="U173" s="149">
        <v>0.66666666666666663</v>
      </c>
      <c r="V173" s="150">
        <f t="shared" si="20"/>
        <v>44318.666666666664</v>
      </c>
      <c r="W173" s="151">
        <f t="shared" si="22"/>
        <v>4</v>
      </c>
      <c r="X173" s="151">
        <f t="shared" si="38"/>
        <v>1</v>
      </c>
      <c r="Y173" s="164">
        <v>127604</v>
      </c>
      <c r="Z173" s="165">
        <v>891</v>
      </c>
      <c r="AA173" s="166">
        <f t="shared" si="48"/>
        <v>39</v>
      </c>
      <c r="AB173" s="154">
        <f t="shared" si="39"/>
        <v>5085</v>
      </c>
      <c r="AC173" s="155">
        <f t="shared" si="23"/>
        <v>143.21436588103253</v>
      </c>
      <c r="AD173" s="156">
        <f t="shared" si="40"/>
        <v>130.38461538461539</v>
      </c>
      <c r="AE173" s="156">
        <f>SUM(AB170:AB173)/SUM(AA168:AA173)</f>
        <v>143.21436588103253</v>
      </c>
      <c r="AF173" s="154">
        <f t="shared" ref="AF173:AF175" si="53">Y173</f>
        <v>127604</v>
      </c>
      <c r="AG173" s="157">
        <f t="shared" ref="AG173:AG175" si="54">Y173-AF173</f>
        <v>0</v>
      </c>
      <c r="AH173" s="168">
        <f t="shared" si="49"/>
        <v>891</v>
      </c>
      <c r="AI173" s="170">
        <f t="shared" ref="AI173:AI175" si="55">Z173-AH173</f>
        <v>0</v>
      </c>
      <c r="AJ173" s="154">
        <f t="shared" ref="AJ173:AJ175" si="56">AF173</f>
        <v>127604</v>
      </c>
      <c r="AK173" s="157">
        <f t="shared" ref="AK173:AK175" si="57">Y173-AJ173</f>
        <v>0</v>
      </c>
      <c r="AL173" s="168">
        <f t="shared" ref="AL173:AL175" si="58">AH173</f>
        <v>891</v>
      </c>
      <c r="AM173" s="170">
        <f t="shared" si="31"/>
        <v>0</v>
      </c>
      <c r="AN173" s="154">
        <f t="shared" si="32"/>
        <v>5085</v>
      </c>
      <c r="AO173" s="154">
        <f t="shared" si="25"/>
        <v>31901</v>
      </c>
      <c r="AP173" s="159">
        <f t="shared" si="46"/>
        <v>1.8554898479357713E-2</v>
      </c>
      <c r="AQ173" s="159">
        <f t="shared" si="47"/>
        <v>0.46562030787806524</v>
      </c>
      <c r="AR173" s="160">
        <f t="shared" si="51"/>
        <v>2.0280811232449299E-2</v>
      </c>
      <c r="AS173" s="160">
        <f t="shared" si="52"/>
        <v>0.46333853354134164</v>
      </c>
      <c r="AT173" s="159">
        <v>2.9477450250552772E-2</v>
      </c>
      <c r="AU173" s="159">
        <v>0.33692958967122588</v>
      </c>
      <c r="AV173" s="160">
        <v>3.2388663967611336E-2</v>
      </c>
      <c r="AW173" s="160">
        <v>0.36032388663967607</v>
      </c>
      <c r="AX173" s="159">
        <v>2.176080946319553E-2</v>
      </c>
      <c r="AY173" s="159">
        <v>0.38881637087424298</v>
      </c>
      <c r="AZ173" s="160">
        <v>2.4464831804281346E-2</v>
      </c>
      <c r="BA173" s="160">
        <v>0.40366972477064217</v>
      </c>
      <c r="BB173" s="159">
        <v>3.5545704551984567E-2</v>
      </c>
      <c r="BC173" s="159">
        <f t="shared" si="33"/>
        <v>0.35160459948047684</v>
      </c>
      <c r="BD173" s="160">
        <v>3.0423280423280422E-2</v>
      </c>
      <c r="BE173" s="160">
        <f>SUM(BD$168:BD173)</f>
        <v>0.32671957671957669</v>
      </c>
      <c r="BF173" s="161">
        <f>Vergleich!C7</f>
        <v>18881</v>
      </c>
      <c r="BG173" s="159">
        <v>2.7524260165209702E-2</v>
      </c>
      <c r="BH173" s="159">
        <f t="shared" si="34"/>
        <v>0.33037132087577192</v>
      </c>
      <c r="BI173" s="160">
        <v>2.8818443804034588E-2</v>
      </c>
      <c r="BJ173" s="160">
        <f>SUM(BI$168:BI173)</f>
        <v>0.30259365994236309</v>
      </c>
      <c r="BK173" s="161"/>
      <c r="BL173" s="102"/>
      <c r="BM173" s="289"/>
      <c r="BN173" s="289"/>
      <c r="BO173" s="289"/>
      <c r="BP173" s="289"/>
      <c r="BQ173" s="289"/>
      <c r="BR173" s="289"/>
      <c r="BS173" s="289"/>
      <c r="BT173" s="289"/>
      <c r="BU173" s="289"/>
      <c r="BV173" s="289"/>
      <c r="BW173" s="289"/>
      <c r="BX173" s="289"/>
      <c r="BY173" s="289"/>
      <c r="BZ173" s="289"/>
      <c r="CA173" s="289"/>
      <c r="CB173" s="289"/>
      <c r="CC173" s="289"/>
      <c r="CD173" s="289"/>
      <c r="CE173" s="289"/>
    </row>
    <row r="174" spans="1:83" s="163" customFormat="1" x14ac:dyDescent="0.3">
      <c r="A174" s="279"/>
      <c r="B174" s="289"/>
      <c r="C174" s="289"/>
      <c r="D174" s="289"/>
      <c r="E174" s="284">
        <v>5</v>
      </c>
      <c r="F174" s="401">
        <f t="shared" si="35"/>
        <v>44319.666666666664</v>
      </c>
      <c r="G174" s="322">
        <f t="shared" si="26"/>
        <v>131274</v>
      </c>
      <c r="H174" s="323">
        <f t="shared" si="27"/>
        <v>131274</v>
      </c>
      <c r="I174" s="323">
        <f t="shared" si="28"/>
        <v>131274</v>
      </c>
      <c r="J174" s="325">
        <v>63115</v>
      </c>
      <c r="K174" s="325"/>
      <c r="L174" s="324">
        <f t="shared" si="21"/>
        <v>0.47901194552196746</v>
      </c>
      <c r="M174" s="312">
        <f t="shared" si="29"/>
        <v>1.3391637643902221E-2</v>
      </c>
      <c r="N174" s="313"/>
      <c r="O174" s="314"/>
      <c r="P174" s="229"/>
      <c r="Q174" s="98"/>
      <c r="R174" s="169">
        <v>5</v>
      </c>
      <c r="S174" s="171">
        <f t="shared" si="36"/>
        <v>2</v>
      </c>
      <c r="T174" s="148">
        <f t="shared" si="37"/>
        <v>44319</v>
      </c>
      <c r="U174" s="149">
        <v>0.66666666666666663</v>
      </c>
      <c r="V174" s="150">
        <f t="shared" si="20"/>
        <v>44319.666666666664</v>
      </c>
      <c r="W174" s="151">
        <f t="shared" si="22"/>
        <v>5</v>
      </c>
      <c r="X174" s="151">
        <f t="shared" si="38"/>
        <v>1</v>
      </c>
      <c r="Y174" s="164">
        <v>131274</v>
      </c>
      <c r="Z174" s="165">
        <v>918</v>
      </c>
      <c r="AA174" s="166">
        <f t="shared" si="48"/>
        <v>27</v>
      </c>
      <c r="AB174" s="154">
        <f t="shared" si="39"/>
        <v>3670</v>
      </c>
      <c r="AC174" s="155">
        <f t="shared" si="23"/>
        <v>143</v>
      </c>
      <c r="AD174" s="156">
        <f t="shared" si="40"/>
        <v>135.92592592592592</v>
      </c>
      <c r="AE174" s="156">
        <f t="shared" ref="AE174:AE190" si="59">SUM(AB170:AB174)/SUM(AA170:AA174)</f>
        <v>143</v>
      </c>
      <c r="AF174" s="154">
        <f t="shared" si="53"/>
        <v>131274</v>
      </c>
      <c r="AG174" s="157">
        <f t="shared" si="54"/>
        <v>0</v>
      </c>
      <c r="AH174" s="168">
        <f t="shared" si="49"/>
        <v>918</v>
      </c>
      <c r="AI174" s="170">
        <f t="shared" si="55"/>
        <v>0</v>
      </c>
      <c r="AJ174" s="154">
        <f t="shared" si="56"/>
        <v>131274</v>
      </c>
      <c r="AK174" s="157">
        <f t="shared" si="57"/>
        <v>0</v>
      </c>
      <c r="AL174" s="168">
        <f t="shared" si="58"/>
        <v>918</v>
      </c>
      <c r="AM174" s="170">
        <f t="shared" si="31"/>
        <v>0</v>
      </c>
      <c r="AN174" s="154">
        <f t="shared" si="32"/>
        <v>3670</v>
      </c>
      <c r="AO174" s="154">
        <f t="shared" si="25"/>
        <v>26254.799999999999</v>
      </c>
      <c r="AP174" s="159">
        <f t="shared" si="46"/>
        <v>1.3391637643902225E-2</v>
      </c>
      <c r="AQ174" s="159">
        <f t="shared" si="47"/>
        <v>0.47901194552196746</v>
      </c>
      <c r="AR174" s="160">
        <f t="shared" si="51"/>
        <v>1.4040561622464899E-2</v>
      </c>
      <c r="AS174" s="160">
        <f t="shared" si="52"/>
        <v>0.47737909516380655</v>
      </c>
      <c r="AT174" s="159">
        <v>2.5521938645126165E-2</v>
      </c>
      <c r="AU174" s="159">
        <v>0.36245152831635202</v>
      </c>
      <c r="AV174" s="160">
        <v>2.6315789473684209E-2</v>
      </c>
      <c r="AW174" s="160">
        <v>0.38663967611336025</v>
      </c>
      <c r="AX174" s="159">
        <v>2.2749937166068056E-2</v>
      </c>
      <c r="AY174" s="159">
        <v>0.41156630804031102</v>
      </c>
      <c r="AZ174" s="160">
        <v>2.4464831804281346E-2</v>
      </c>
      <c r="BA174" s="160">
        <v>0.4281345565749235</v>
      </c>
      <c r="BB174" s="159">
        <v>1.8482359080807548E-2</v>
      </c>
      <c r="BC174" s="159">
        <f t="shared" si="33"/>
        <v>0.37008695856128437</v>
      </c>
      <c r="BD174" s="160">
        <v>2.2486772486772486E-2</v>
      </c>
      <c r="BE174" s="160">
        <f>SUM(BD$168:BD174)</f>
        <v>0.34920634920634919</v>
      </c>
      <c r="BF174" s="161">
        <f>Vergleich!C8</f>
        <v>21886</v>
      </c>
      <c r="BG174" s="159">
        <v>2.0675274681209388E-2</v>
      </c>
      <c r="BH174" s="159">
        <f t="shared" si="34"/>
        <v>0.35104659555698131</v>
      </c>
      <c r="BI174" s="160">
        <v>1.7291066282420775E-2</v>
      </c>
      <c r="BJ174" s="160">
        <f>SUM(BI$168:BI174)</f>
        <v>0.31988472622478387</v>
      </c>
      <c r="BK174" s="161"/>
      <c r="BL174" s="102"/>
      <c r="BM174" s="289"/>
      <c r="BN174" s="289"/>
      <c r="BO174" s="289"/>
      <c r="BP174" s="289"/>
      <c r="BQ174" s="289"/>
      <c r="BR174" s="289"/>
      <c r="BS174" s="289"/>
      <c r="BT174" s="289"/>
      <c r="BU174" s="289"/>
      <c r="BV174" s="289"/>
      <c r="BW174" s="289"/>
      <c r="BX174" s="289"/>
      <c r="BY174" s="289"/>
      <c r="BZ174" s="289"/>
      <c r="CA174" s="289"/>
      <c r="CB174" s="289"/>
      <c r="CC174" s="289"/>
      <c r="CD174" s="289"/>
      <c r="CE174" s="289"/>
    </row>
    <row r="175" spans="1:83" s="163" customFormat="1" x14ac:dyDescent="0.3">
      <c r="A175" s="279"/>
      <c r="B175" s="289"/>
      <c r="C175" s="289"/>
      <c r="D175" s="289"/>
      <c r="E175" s="284">
        <v>6</v>
      </c>
      <c r="F175" s="401">
        <f t="shared" si="35"/>
        <v>44320.666666666664</v>
      </c>
      <c r="G175" s="322">
        <f t="shared" si="26"/>
        <v>135593</v>
      </c>
      <c r="H175" s="323">
        <f t="shared" si="27"/>
        <v>135593</v>
      </c>
      <c r="I175" s="323">
        <f t="shared" si="28"/>
        <v>135593</v>
      </c>
      <c r="J175" s="325">
        <v>65148</v>
      </c>
      <c r="K175" s="325"/>
      <c r="L175" s="324">
        <f t="shared" si="21"/>
        <v>0.4947717501497641</v>
      </c>
      <c r="M175" s="312">
        <f t="shared" si="29"/>
        <v>1.5759804627796636E-2</v>
      </c>
      <c r="N175" s="313"/>
      <c r="O175" s="314"/>
      <c r="P175" s="229"/>
      <c r="Q175" s="98"/>
      <c r="R175" s="169">
        <v>6</v>
      </c>
      <c r="S175" s="171">
        <f t="shared" si="36"/>
        <v>3</v>
      </c>
      <c r="T175" s="148">
        <f t="shared" si="37"/>
        <v>44320</v>
      </c>
      <c r="U175" s="149">
        <v>0.66666666666666663</v>
      </c>
      <c r="V175" s="150">
        <f t="shared" si="20"/>
        <v>44320.666666666664</v>
      </c>
      <c r="W175" s="151">
        <f t="shared" si="22"/>
        <v>6</v>
      </c>
      <c r="X175" s="151">
        <f t="shared" si="38"/>
        <v>1</v>
      </c>
      <c r="Y175" s="164">
        <v>135593</v>
      </c>
      <c r="Z175" s="165">
        <v>953</v>
      </c>
      <c r="AA175" s="166">
        <f t="shared" si="48"/>
        <v>35</v>
      </c>
      <c r="AB175" s="154">
        <f t="shared" si="39"/>
        <v>4319</v>
      </c>
      <c r="AC175" s="155">
        <f t="shared" si="23"/>
        <v>142.28016789087093</v>
      </c>
      <c r="AD175" s="156">
        <f t="shared" si="40"/>
        <v>123.4</v>
      </c>
      <c r="AE175" s="156">
        <f t="shared" si="59"/>
        <v>139.8109756097561</v>
      </c>
      <c r="AF175" s="154">
        <f t="shared" si="53"/>
        <v>135593</v>
      </c>
      <c r="AG175" s="157">
        <f t="shared" si="54"/>
        <v>0</v>
      </c>
      <c r="AH175" s="168">
        <f t="shared" si="49"/>
        <v>953</v>
      </c>
      <c r="AI175" s="170">
        <f t="shared" si="55"/>
        <v>0</v>
      </c>
      <c r="AJ175" s="154">
        <f t="shared" si="56"/>
        <v>135593</v>
      </c>
      <c r="AK175" s="157">
        <f t="shared" si="57"/>
        <v>0</v>
      </c>
      <c r="AL175" s="168">
        <f t="shared" si="58"/>
        <v>953</v>
      </c>
      <c r="AM175" s="170">
        <f t="shared" si="31"/>
        <v>0</v>
      </c>
      <c r="AN175" s="154">
        <f t="shared" si="32"/>
        <v>4319</v>
      </c>
      <c r="AO175" s="154">
        <f t="shared" si="25"/>
        <v>22598.833333333332</v>
      </c>
      <c r="AP175" s="159">
        <f t="shared" si="46"/>
        <v>1.575980462779665E-2</v>
      </c>
      <c r="AQ175" s="159">
        <f t="shared" si="47"/>
        <v>0.4947717501497641</v>
      </c>
      <c r="AR175" s="160">
        <f t="shared" si="51"/>
        <v>1.8200728029121163E-2</v>
      </c>
      <c r="AS175" s="160">
        <f t="shared" si="52"/>
        <v>0.4955798231929277</v>
      </c>
      <c r="AT175" s="159">
        <v>5.3999400006666594E-2</v>
      </c>
      <c r="AU175" s="159">
        <v>0.41645092832301861</v>
      </c>
      <c r="AV175" s="160">
        <v>5.8704453441295545E-2</v>
      </c>
      <c r="AW175" s="160">
        <v>0.4453441295546558</v>
      </c>
      <c r="AX175" s="159">
        <v>2.4857914237763599E-2</v>
      </c>
      <c r="AY175" s="159">
        <v>0.43642422227807465</v>
      </c>
      <c r="AZ175" s="160">
        <v>2.1406727828746176E-2</v>
      </c>
      <c r="BA175" s="160">
        <v>0.44954128440366969</v>
      </c>
      <c r="BB175" s="159">
        <v>1.1920887059416798E-2</v>
      </c>
      <c r="BC175" s="159">
        <f t="shared" si="33"/>
        <v>0.38200784562070117</v>
      </c>
      <c r="BD175" s="160">
        <v>1.3227513227513227E-2</v>
      </c>
      <c r="BE175" s="160">
        <f>SUM(BD$168:BD175)</f>
        <v>0.36243386243386244</v>
      </c>
      <c r="BF175" s="161">
        <f>Vergleich!C9</f>
        <v>22571</v>
      </c>
      <c r="BG175" s="159">
        <v>1.0987248375972425E-2</v>
      </c>
      <c r="BH175" s="159">
        <f t="shared" si="34"/>
        <v>0.36203384393295374</v>
      </c>
      <c r="BI175" s="160">
        <v>1.1527377521613813E-2</v>
      </c>
      <c r="BJ175" s="160">
        <f>SUM(BI$168:BI175)</f>
        <v>0.33141210374639768</v>
      </c>
      <c r="BK175" s="161"/>
      <c r="BL175" s="102"/>
      <c r="BM175" s="289"/>
      <c r="BN175" s="289"/>
      <c r="BO175" s="289"/>
      <c r="BP175" s="289"/>
      <c r="BQ175" s="289"/>
      <c r="BR175" s="289"/>
      <c r="BS175" s="289"/>
      <c r="BT175" s="289"/>
      <c r="BU175" s="289"/>
      <c r="BV175" s="289"/>
      <c r="BW175" s="289"/>
      <c r="BX175" s="289"/>
      <c r="BY175" s="289"/>
      <c r="BZ175" s="289"/>
      <c r="CA175" s="289"/>
      <c r="CB175" s="289"/>
      <c r="CC175" s="289"/>
      <c r="CD175" s="289"/>
      <c r="CE175" s="289"/>
    </row>
    <row r="176" spans="1:83" s="163" customFormat="1" x14ac:dyDescent="0.3">
      <c r="A176" s="279"/>
      <c r="B176" s="289"/>
      <c r="C176" s="289"/>
      <c r="D176" s="289"/>
      <c r="E176" s="284">
        <v>7</v>
      </c>
      <c r="F176" s="401">
        <f t="shared" si="35"/>
        <v>44321.666666666664</v>
      </c>
      <c r="G176" s="322">
        <f t="shared" si="26"/>
        <v>147297</v>
      </c>
      <c r="H176" s="323">
        <f t="shared" si="27"/>
        <v>142800.83852043358</v>
      </c>
      <c r="I176" s="323">
        <f t="shared" si="28"/>
        <v>150511.89146597724</v>
      </c>
      <c r="J176" s="325">
        <v>69623</v>
      </c>
      <c r="K176" s="325"/>
      <c r="L176" s="324">
        <f t="shared" si="21"/>
        <v>0.53747903270677544</v>
      </c>
      <c r="M176" s="312">
        <f t="shared" si="29"/>
        <v>4.2707282557011339E-2</v>
      </c>
      <c r="N176" s="313"/>
      <c r="O176" s="314"/>
      <c r="P176" s="229"/>
      <c r="Q176" s="98"/>
      <c r="R176" s="169">
        <v>7</v>
      </c>
      <c r="S176" s="171">
        <f t="shared" si="36"/>
        <v>4</v>
      </c>
      <c r="T176" s="148">
        <f t="shared" si="37"/>
        <v>44321</v>
      </c>
      <c r="U176" s="149">
        <v>0.66666666666666663</v>
      </c>
      <c r="V176" s="150">
        <f t="shared" si="20"/>
        <v>44321.666666666664</v>
      </c>
      <c r="W176" s="151">
        <f t="shared" si="22"/>
        <v>7</v>
      </c>
      <c r="X176" s="151">
        <f t="shared" si="38"/>
        <v>1</v>
      </c>
      <c r="Y176" s="164">
        <v>147297</v>
      </c>
      <c r="Z176" s="165">
        <v>1044</v>
      </c>
      <c r="AA176" s="166">
        <f t="shared" si="48"/>
        <v>91</v>
      </c>
      <c r="AB176" s="154">
        <f t="shared" si="39"/>
        <v>11704</v>
      </c>
      <c r="AC176" s="155">
        <f t="shared" si="23"/>
        <v>141.08908045977012</v>
      </c>
      <c r="AD176" s="156">
        <f t="shared" si="40"/>
        <v>128.61538461538461</v>
      </c>
      <c r="AE176" s="156">
        <f t="shared" si="59"/>
        <v>130.56470588235294</v>
      </c>
      <c r="AF176" s="154">
        <v>142800.83852043358</v>
      </c>
      <c r="AG176" s="154">
        <f t="shared" ref="AG176" si="60">Y176-AF176</f>
        <v>4496.1614795664209</v>
      </c>
      <c r="AH176" s="168">
        <v>997</v>
      </c>
      <c r="AI176" s="158">
        <f t="shared" si="30"/>
        <v>47</v>
      </c>
      <c r="AJ176" s="154">
        <v>150511.89146597724</v>
      </c>
      <c r="AK176" s="154">
        <f>Y176-AJ176</f>
        <v>-3214.8914659772418</v>
      </c>
      <c r="AL176" s="168">
        <v>1086</v>
      </c>
      <c r="AM176" s="158">
        <f t="shared" si="31"/>
        <v>-42</v>
      </c>
      <c r="AN176" s="154">
        <f t="shared" si="32"/>
        <v>11704</v>
      </c>
      <c r="AO176" s="154">
        <f t="shared" si="25"/>
        <v>21042.428571428572</v>
      </c>
      <c r="AP176" s="159">
        <f t="shared" si="46"/>
        <v>4.2707282557011346E-2</v>
      </c>
      <c r="AQ176" s="159">
        <f t="shared" si="47"/>
        <v>0.53747903270677544</v>
      </c>
      <c r="AR176" s="160">
        <f t="shared" si="51"/>
        <v>4.7321892875715026E-2</v>
      </c>
      <c r="AS176" s="160">
        <f t="shared" si="52"/>
        <v>0.54290171606864268</v>
      </c>
      <c r="AT176" s="159">
        <v>3.0466328151909423E-2</v>
      </c>
      <c r="AU176" s="159">
        <v>0.44691725647492803</v>
      </c>
      <c r="AV176" s="160">
        <v>3.2388663967611336E-2</v>
      </c>
      <c r="AW176" s="160">
        <v>0.47773279352226716</v>
      </c>
      <c r="AX176" s="159">
        <v>1.7447564070341575E-2</v>
      </c>
      <c r="AY176" s="159">
        <v>0.45387178634841624</v>
      </c>
      <c r="AZ176" s="160">
        <v>2.1406727828746176E-2</v>
      </c>
      <c r="BA176" s="160">
        <v>0.47094801223241589</v>
      </c>
      <c r="BB176" s="159">
        <v>2.6240024392961223E-2</v>
      </c>
      <c r="BC176" s="159">
        <f t="shared" si="33"/>
        <v>0.40824787001366242</v>
      </c>
      <c r="BD176" s="160">
        <v>2.7777777777777776E-2</v>
      </c>
      <c r="BE176" s="160">
        <f>SUM(BD$168:BD176)</f>
        <v>0.39021164021164023</v>
      </c>
      <c r="BF176" s="161">
        <f>Vergleich!C10</f>
        <v>24180</v>
      </c>
      <c r="BG176" s="159">
        <v>2.5808003849546846E-2</v>
      </c>
      <c r="BH176" s="159">
        <f t="shared" si="34"/>
        <v>0.38784184778250058</v>
      </c>
      <c r="BI176" s="160">
        <v>2.5936599423631135E-2</v>
      </c>
      <c r="BJ176" s="160">
        <f>SUM(BI$168:BI176)</f>
        <v>0.35734870317002881</v>
      </c>
      <c r="BK176" s="161"/>
      <c r="BL176" s="102"/>
      <c r="BM176" s="289"/>
      <c r="BN176" s="289"/>
      <c r="BO176" s="289"/>
      <c r="BP176" s="289"/>
      <c r="BQ176" s="289"/>
      <c r="BR176" s="289"/>
      <c r="BS176" s="289"/>
      <c r="BT176" s="289"/>
      <c r="BU176" s="289"/>
      <c r="BV176" s="289"/>
      <c r="BW176" s="289"/>
      <c r="BX176" s="289"/>
      <c r="BY176" s="289"/>
      <c r="BZ176" s="289"/>
      <c r="CA176" s="289"/>
      <c r="CB176" s="289"/>
      <c r="CC176" s="289"/>
      <c r="CD176" s="289"/>
      <c r="CE176" s="289"/>
    </row>
    <row r="177" spans="1:83" s="163" customFormat="1" x14ac:dyDescent="0.3">
      <c r="A177" s="279"/>
      <c r="B177" s="289"/>
      <c r="C177" s="289"/>
      <c r="D177" s="289"/>
      <c r="E177" s="284">
        <v>8</v>
      </c>
      <c r="F177" s="401">
        <f t="shared" si="35"/>
        <v>44322.666666666664</v>
      </c>
      <c r="G177" s="322">
        <f t="shared" si="26"/>
        <v>154154</v>
      </c>
      <c r="H177" s="323">
        <f t="shared" si="27"/>
        <v>147890.61946447159</v>
      </c>
      <c r="I177" s="323">
        <f t="shared" si="28"/>
        <v>169788.92737551677</v>
      </c>
      <c r="J177" s="325">
        <v>72783</v>
      </c>
      <c r="K177" s="325"/>
      <c r="L177" s="324">
        <f t="shared" si="21"/>
        <v>0.56249986631010995</v>
      </c>
      <c r="M177" s="312">
        <f t="shared" si="29"/>
        <v>2.5020833603334514E-2</v>
      </c>
      <c r="N177" s="313"/>
      <c r="O177" s="314"/>
      <c r="P177" s="229"/>
      <c r="Q177" s="98"/>
      <c r="R177" s="169">
        <v>8</v>
      </c>
      <c r="S177" s="171">
        <f t="shared" si="36"/>
        <v>5</v>
      </c>
      <c r="T177" s="148">
        <f t="shared" si="37"/>
        <v>44322</v>
      </c>
      <c r="U177" s="149">
        <v>0.66666666666666663</v>
      </c>
      <c r="V177" s="150">
        <f t="shared" si="20"/>
        <v>44322.666666666664</v>
      </c>
      <c r="W177" s="151">
        <f t="shared" si="22"/>
        <v>8</v>
      </c>
      <c r="X177" s="151">
        <f t="shared" si="38"/>
        <v>1</v>
      </c>
      <c r="Y177" s="164">
        <v>154154</v>
      </c>
      <c r="Z177" s="165">
        <v>1084</v>
      </c>
      <c r="AA177" s="166">
        <f t="shared" si="48"/>
        <v>40</v>
      </c>
      <c r="AB177" s="154">
        <f t="shared" si="39"/>
        <v>6857</v>
      </c>
      <c r="AC177" s="155">
        <f t="shared" si="23"/>
        <v>142.20848708487085</v>
      </c>
      <c r="AD177" s="156">
        <f t="shared" si="40"/>
        <v>171.42500000000001</v>
      </c>
      <c r="AE177" s="156">
        <f t="shared" si="59"/>
        <v>136.35775862068965</v>
      </c>
      <c r="AF177" s="154">
        <v>147890.61946447159</v>
      </c>
      <c r="AG177" s="154">
        <f t="shared" ref="AG177:AG190" si="61">Y177-AF177</f>
        <v>6263.380535528413</v>
      </c>
      <c r="AH177" s="168">
        <v>1024</v>
      </c>
      <c r="AI177" s="158">
        <f t="shared" ref="AI177:AI190" si="62">Z177-AH177</f>
        <v>60</v>
      </c>
      <c r="AJ177" s="154">
        <v>169788.92737551677</v>
      </c>
      <c r="AK177" s="154">
        <f t="shared" ref="AK177:AK190" si="63">Y177-AJ177</f>
        <v>-15634.927375516767</v>
      </c>
      <c r="AL177" s="168">
        <v>1228</v>
      </c>
      <c r="AM177" s="158">
        <f t="shared" si="31"/>
        <v>-144</v>
      </c>
      <c r="AN177" s="154">
        <f t="shared" si="32"/>
        <v>6857</v>
      </c>
      <c r="AO177" s="154">
        <f t="shared" si="25"/>
        <v>19269.25</v>
      </c>
      <c r="AP177" s="159">
        <f t="shared" si="46"/>
        <v>2.5020833603334482E-2</v>
      </c>
      <c r="AQ177" s="159">
        <f t="shared" si="47"/>
        <v>0.56249986631010995</v>
      </c>
      <c r="AR177" s="160">
        <f t="shared" si="51"/>
        <v>2.0800832033281331E-2</v>
      </c>
      <c r="AS177" s="160">
        <f t="shared" si="52"/>
        <v>0.56370254810192399</v>
      </c>
      <c r="AT177" s="159">
        <v>3.9366229264119285E-2</v>
      </c>
      <c r="AU177" s="159">
        <v>0.48628348573904734</v>
      </c>
      <c r="AV177" s="160">
        <v>3.4412955465587043E-2</v>
      </c>
      <c r="AW177" s="160">
        <v>0.51214574898785425</v>
      </c>
      <c r="AX177" s="159">
        <v>2.2814797999043304E-2</v>
      </c>
      <c r="AY177" s="159">
        <v>0.47668658434745953</v>
      </c>
      <c r="AZ177" s="160">
        <v>2.5993883792048929E-2</v>
      </c>
      <c r="BA177" s="160">
        <v>0.49694189602446481</v>
      </c>
      <c r="BB177" s="159">
        <v>1.852926862162178E-2</v>
      </c>
      <c r="BC177" s="159">
        <f t="shared" si="33"/>
        <v>0.42677713863528421</v>
      </c>
      <c r="BD177" s="160">
        <v>1.7195767195767195E-2</v>
      </c>
      <c r="BE177" s="160">
        <f>SUM(BD$168:BD177)</f>
        <v>0.40740740740740744</v>
      </c>
      <c r="BF177" s="161">
        <f>Vergleich!C11</f>
        <v>26679</v>
      </c>
      <c r="BG177" s="159">
        <v>4.0083406848985481E-2</v>
      </c>
      <c r="BH177" s="159">
        <f t="shared" si="34"/>
        <v>0.42792525463148606</v>
      </c>
      <c r="BI177" s="160">
        <v>3.4582132564841495E-2</v>
      </c>
      <c r="BJ177" s="160">
        <f>SUM(BI$168:BI177)</f>
        <v>0.39193083573487031</v>
      </c>
      <c r="BK177" s="161"/>
      <c r="BL177" s="102"/>
      <c r="BM177" s="289"/>
      <c r="BN177" s="289"/>
      <c r="BO177" s="289"/>
      <c r="BP177" s="289"/>
      <c r="BQ177" s="289"/>
      <c r="BR177" s="289"/>
      <c r="BS177" s="289"/>
      <c r="BT177" s="289"/>
      <c r="BU177" s="289"/>
      <c r="BV177" s="289"/>
      <c r="BW177" s="289"/>
      <c r="BX177" s="289"/>
      <c r="BY177" s="289"/>
      <c r="BZ177" s="289"/>
      <c r="CA177" s="289"/>
      <c r="CB177" s="289"/>
      <c r="CC177" s="289"/>
      <c r="CD177" s="289"/>
      <c r="CE177" s="289"/>
    </row>
    <row r="178" spans="1:83" s="163" customFormat="1" x14ac:dyDescent="0.3">
      <c r="A178" s="279"/>
      <c r="B178" s="289"/>
      <c r="C178" s="289"/>
      <c r="D178" s="289"/>
      <c r="E178" s="284">
        <v>9</v>
      </c>
      <c r="F178" s="401">
        <f t="shared" si="35"/>
        <v>44323.666666666664</v>
      </c>
      <c r="G178" s="322">
        <f t="shared" si="26"/>
        <v>158642</v>
      </c>
      <c r="H178" s="323">
        <f t="shared" si="27"/>
        <v>154033.79178110481</v>
      </c>
      <c r="I178" s="323">
        <f t="shared" si="28"/>
        <v>181786.0665740871</v>
      </c>
      <c r="J178" s="325">
        <v>76597</v>
      </c>
      <c r="K178" s="325"/>
      <c r="L178" s="324">
        <f t="shared" si="21"/>
        <v>0.57887634308009173</v>
      </c>
      <c r="M178" s="312">
        <f t="shared" si="29"/>
        <v>1.6376476769981774E-2</v>
      </c>
      <c r="N178" s="313"/>
      <c r="O178" s="314"/>
      <c r="P178" s="229"/>
      <c r="Q178" s="98"/>
      <c r="R178" s="169">
        <v>9</v>
      </c>
      <c r="S178" s="171">
        <f t="shared" si="36"/>
        <v>6</v>
      </c>
      <c r="T178" s="148">
        <f t="shared" si="37"/>
        <v>44323</v>
      </c>
      <c r="U178" s="149">
        <v>0.66666666666666663</v>
      </c>
      <c r="V178" s="150">
        <f t="shared" si="20"/>
        <v>44323.666666666664</v>
      </c>
      <c r="W178" s="151">
        <f t="shared" si="22"/>
        <v>9</v>
      </c>
      <c r="X178" s="151">
        <f t="shared" si="38"/>
        <v>1</v>
      </c>
      <c r="Y178" s="164">
        <v>158642</v>
      </c>
      <c r="Z178" s="165">
        <v>1112</v>
      </c>
      <c r="AA178" s="166">
        <f t="shared" si="48"/>
        <v>28</v>
      </c>
      <c r="AB178" s="154">
        <f t="shared" si="39"/>
        <v>4488</v>
      </c>
      <c r="AC178" s="155">
        <f t="shared" si="23"/>
        <v>142.66366906474821</v>
      </c>
      <c r="AD178" s="156">
        <f t="shared" si="40"/>
        <v>160.28571428571428</v>
      </c>
      <c r="AE178" s="156">
        <f t="shared" si="59"/>
        <v>140.44343891402715</v>
      </c>
      <c r="AF178" s="154">
        <v>154033.79178110481</v>
      </c>
      <c r="AG178" s="154">
        <f t="shared" si="61"/>
        <v>4608.2082188951899</v>
      </c>
      <c r="AH178" s="168">
        <v>1068</v>
      </c>
      <c r="AI178" s="158">
        <f t="shared" si="62"/>
        <v>44</v>
      </c>
      <c r="AJ178" s="154">
        <v>181786.0665740871</v>
      </c>
      <c r="AK178" s="154">
        <f t="shared" si="63"/>
        <v>-23144.066574087105</v>
      </c>
      <c r="AL178" s="168">
        <v>1345</v>
      </c>
      <c r="AM178" s="158">
        <f t="shared" si="31"/>
        <v>-233</v>
      </c>
      <c r="AN178" s="154">
        <f t="shared" si="32"/>
        <v>4488</v>
      </c>
      <c r="AO178" s="154">
        <f t="shared" si="25"/>
        <v>17626.888888888891</v>
      </c>
      <c r="AP178" s="159">
        <f t="shared" si="46"/>
        <v>1.6376476769981795E-2</v>
      </c>
      <c r="AQ178" s="159">
        <f t="shared" si="47"/>
        <v>0.57887634308009173</v>
      </c>
      <c r="AR178" s="160">
        <f t="shared" si="51"/>
        <v>1.4560582423296931E-2</v>
      </c>
      <c r="AS178" s="160">
        <f t="shared" si="52"/>
        <v>0.57826313052522094</v>
      </c>
      <c r="AT178" s="159">
        <v>2.4499727780802436E-2</v>
      </c>
      <c r="AU178" s="159">
        <v>0.51078321351984979</v>
      </c>
      <c r="AV178" s="160">
        <v>2.8340080971659919E-2</v>
      </c>
      <c r="AW178" s="160">
        <v>0.54048582995951422</v>
      </c>
      <c r="AX178" s="159">
        <v>3.6524756569186238E-2</v>
      </c>
      <c r="AY178" s="159">
        <v>0.51321134091664578</v>
      </c>
      <c r="AZ178" s="160">
        <v>3.82262996941896E-2</v>
      </c>
      <c r="BA178" s="160">
        <v>0.53516819571865437</v>
      </c>
      <c r="BB178" s="159">
        <v>2.2364123583185274E-2</v>
      </c>
      <c r="BC178" s="159">
        <f t="shared" si="33"/>
        <v>0.44914126221846951</v>
      </c>
      <c r="BD178" s="160">
        <v>2.7777777777777776E-2</v>
      </c>
      <c r="BE178" s="160">
        <f>SUM(BD$168:BD178)</f>
        <v>0.43518518518518523</v>
      </c>
      <c r="BF178" s="161">
        <f>Vergleich!C12</f>
        <v>27868</v>
      </c>
      <c r="BG178" s="159">
        <v>1.9071296816103978E-2</v>
      </c>
      <c r="BH178" s="159">
        <f t="shared" si="34"/>
        <v>0.44699655144759004</v>
      </c>
      <c r="BI178" s="160">
        <v>1.7291066282420775E-2</v>
      </c>
      <c r="BJ178" s="160">
        <f>SUM(BI$168:BI178)</f>
        <v>0.40922190201729108</v>
      </c>
      <c r="BK178" s="161"/>
      <c r="BL178" s="102"/>
      <c r="BM178" s="289"/>
      <c r="BN178" s="289"/>
      <c r="BO178" s="289"/>
      <c r="BP178" s="289"/>
      <c r="BQ178" s="289"/>
      <c r="BR178" s="289"/>
      <c r="BS178" s="289"/>
      <c r="BT178" s="289"/>
      <c r="BU178" s="289"/>
      <c r="BV178" s="289"/>
      <c r="BW178" s="289"/>
      <c r="BX178" s="289"/>
      <c r="BY178" s="289"/>
      <c r="BZ178" s="289"/>
      <c r="CA178" s="289"/>
      <c r="CB178" s="289"/>
      <c r="CC178" s="289"/>
      <c r="CD178" s="289"/>
      <c r="CE178" s="289"/>
    </row>
    <row r="179" spans="1:83" s="163" customFormat="1" x14ac:dyDescent="0.3">
      <c r="A179" s="279"/>
      <c r="B179" s="289"/>
      <c r="C179" s="289"/>
      <c r="D179" s="289"/>
      <c r="E179" s="284">
        <v>10</v>
      </c>
      <c r="F179" s="401">
        <f t="shared" si="35"/>
        <v>44324.666666666664</v>
      </c>
      <c r="G179" s="322">
        <f t="shared" si="26"/>
        <v>163194</v>
      </c>
      <c r="H179" s="323">
        <f t="shared" si="27"/>
        <v>161652.3562954402</v>
      </c>
      <c r="I179" s="323">
        <f t="shared" si="28"/>
        <v>197466.6811637831</v>
      </c>
      <c r="J179" s="325">
        <v>81327</v>
      </c>
      <c r="K179" s="325"/>
      <c r="L179" s="324">
        <f t="shared" si="21"/>
        <v>0.59548635249563475</v>
      </c>
      <c r="M179" s="312">
        <f t="shared" si="29"/>
        <v>1.6610009415543026E-2</v>
      </c>
      <c r="N179" s="313"/>
      <c r="O179" s="314"/>
      <c r="P179" s="229"/>
      <c r="Q179" s="98"/>
      <c r="R179" s="169">
        <v>10</v>
      </c>
      <c r="S179" s="171">
        <f t="shared" si="36"/>
        <v>7</v>
      </c>
      <c r="T179" s="148">
        <f t="shared" si="37"/>
        <v>44324</v>
      </c>
      <c r="U179" s="149">
        <v>0.66666666666666663</v>
      </c>
      <c r="V179" s="150">
        <f t="shared" si="20"/>
        <v>44324.666666666664</v>
      </c>
      <c r="W179" s="151">
        <f t="shared" si="22"/>
        <v>10</v>
      </c>
      <c r="X179" s="151">
        <f t="shared" si="38"/>
        <v>1</v>
      </c>
      <c r="Y179" s="164">
        <v>163194</v>
      </c>
      <c r="Z179" s="165">
        <v>1140</v>
      </c>
      <c r="AA179" s="166">
        <f t="shared" si="48"/>
        <v>28</v>
      </c>
      <c r="AB179" s="154">
        <f t="shared" si="39"/>
        <v>4552</v>
      </c>
      <c r="AC179" s="155">
        <f t="shared" si="23"/>
        <v>143.15263157894736</v>
      </c>
      <c r="AD179" s="156">
        <f t="shared" si="40"/>
        <v>162.57142857142858</v>
      </c>
      <c r="AE179" s="156">
        <f t="shared" si="59"/>
        <v>143.78378378378378</v>
      </c>
      <c r="AF179" s="154">
        <v>161652.3562954402</v>
      </c>
      <c r="AG179" s="154">
        <f t="shared" si="61"/>
        <v>1541.6437045597995</v>
      </c>
      <c r="AH179" s="168">
        <v>1112</v>
      </c>
      <c r="AI179" s="158">
        <f t="shared" si="62"/>
        <v>28</v>
      </c>
      <c r="AJ179" s="154">
        <v>197466.6811637831</v>
      </c>
      <c r="AK179" s="154">
        <f t="shared" si="63"/>
        <v>-34272.681163783098</v>
      </c>
      <c r="AL179" s="168">
        <v>1470</v>
      </c>
      <c r="AM179" s="158">
        <f t="shared" si="31"/>
        <v>-330</v>
      </c>
      <c r="AN179" s="154">
        <f t="shared" si="32"/>
        <v>4552</v>
      </c>
      <c r="AO179" s="154">
        <f t="shared" si="25"/>
        <v>16319.4</v>
      </c>
      <c r="AP179" s="159">
        <f t="shared" si="46"/>
        <v>1.6610009415543033E-2</v>
      </c>
      <c r="AQ179" s="159">
        <f t="shared" si="47"/>
        <v>0.59548635249563475</v>
      </c>
      <c r="AR179" s="160">
        <f t="shared" si="51"/>
        <v>1.4560582423296931E-2</v>
      </c>
      <c r="AS179" s="160">
        <f t="shared" si="52"/>
        <v>0.59282371294851788</v>
      </c>
      <c r="AT179" s="159">
        <v>3.2021866423706406E-2</v>
      </c>
      <c r="AU179" s="159">
        <v>0.5428050799435562</v>
      </c>
      <c r="AV179" s="160">
        <v>3.0364372469635626E-2</v>
      </c>
      <c r="AW179" s="160">
        <v>0.57085020242914986</v>
      </c>
      <c r="AX179" s="159">
        <v>2.7160473808384884E-2</v>
      </c>
      <c r="AY179" s="159">
        <v>0.54037181472503071</v>
      </c>
      <c r="AZ179" s="160">
        <v>2.9051987767584098E-2</v>
      </c>
      <c r="BA179" s="160">
        <v>0.56422018348623848</v>
      </c>
      <c r="BB179" s="159">
        <v>2.7735266006414881E-2</v>
      </c>
      <c r="BC179" s="159">
        <f t="shared" si="33"/>
        <v>0.47687652822488441</v>
      </c>
      <c r="BD179" s="160">
        <v>2.7777777777777776E-2</v>
      </c>
      <c r="BE179" s="160">
        <f>SUM(BD$168:BD179)</f>
        <v>0.46296296296296302</v>
      </c>
      <c r="BF179" s="161">
        <f>Vergleich!C13</f>
        <v>31587</v>
      </c>
      <c r="BG179" s="159">
        <v>5.9651936803272132E-2</v>
      </c>
      <c r="BH179" s="159">
        <f t="shared" si="34"/>
        <v>0.50664848825086217</v>
      </c>
      <c r="BI179" s="160">
        <v>5.4755043227665667E-2</v>
      </c>
      <c r="BJ179" s="160">
        <f>SUM(BI$168:BI179)</f>
        <v>0.46397694524495675</v>
      </c>
      <c r="BK179" s="161"/>
      <c r="BL179" s="102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</row>
    <row r="180" spans="1:83" s="163" customFormat="1" x14ac:dyDescent="0.3">
      <c r="A180" s="279"/>
      <c r="B180" s="289"/>
      <c r="C180" s="289"/>
      <c r="D180" s="289"/>
      <c r="E180" s="284">
        <v>11</v>
      </c>
      <c r="F180" s="401">
        <f t="shared" si="35"/>
        <v>44325.666666666664</v>
      </c>
      <c r="G180" s="322">
        <f t="shared" si="26"/>
        <v>166405</v>
      </c>
      <c r="H180" s="323">
        <f t="shared" si="27"/>
        <v>164446.90374414463</v>
      </c>
      <c r="I180" s="323">
        <f t="shared" si="28"/>
        <v>205252.57966407976</v>
      </c>
      <c r="J180" s="325">
        <v>83062</v>
      </c>
      <c r="K180" s="325"/>
      <c r="L180" s="324">
        <f t="shared" si="21"/>
        <v>0.60720312319715253</v>
      </c>
      <c r="M180" s="312">
        <f t="shared" si="29"/>
        <v>1.1716770701517776E-2</v>
      </c>
      <c r="N180" s="313"/>
      <c r="O180" s="314"/>
      <c r="P180" s="229"/>
      <c r="Q180" s="98"/>
      <c r="R180" s="169">
        <v>11</v>
      </c>
      <c r="S180" s="171">
        <f t="shared" si="36"/>
        <v>1</v>
      </c>
      <c r="T180" s="148">
        <f t="shared" si="37"/>
        <v>44325</v>
      </c>
      <c r="U180" s="149">
        <v>0.66666666666666663</v>
      </c>
      <c r="V180" s="150">
        <f t="shared" si="20"/>
        <v>44325.666666666664</v>
      </c>
      <c r="W180" s="151">
        <f t="shared" si="22"/>
        <v>11</v>
      </c>
      <c r="X180" s="151">
        <f t="shared" si="38"/>
        <v>1</v>
      </c>
      <c r="Y180" s="164">
        <v>166405</v>
      </c>
      <c r="Z180" s="165">
        <v>1163</v>
      </c>
      <c r="AA180" s="166">
        <f t="shared" si="48"/>
        <v>23</v>
      </c>
      <c r="AB180" s="154">
        <f t="shared" si="39"/>
        <v>3211</v>
      </c>
      <c r="AC180" s="155">
        <f t="shared" si="23"/>
        <v>143.08254514187448</v>
      </c>
      <c r="AD180" s="156">
        <f t="shared" si="40"/>
        <v>139.60869565217391</v>
      </c>
      <c r="AE180" s="156">
        <f t="shared" si="59"/>
        <v>146.72380952380954</v>
      </c>
      <c r="AF180" s="154">
        <v>164446.90374414463</v>
      </c>
      <c r="AG180" s="154">
        <f t="shared" si="61"/>
        <v>1958.0962558553729</v>
      </c>
      <c r="AH180" s="168">
        <v>1125</v>
      </c>
      <c r="AI180" s="158">
        <f t="shared" si="62"/>
        <v>38</v>
      </c>
      <c r="AJ180" s="154">
        <v>205252.57966407976</v>
      </c>
      <c r="AK180" s="154">
        <f t="shared" si="63"/>
        <v>-38847.579664079763</v>
      </c>
      <c r="AL180" s="168">
        <v>1545</v>
      </c>
      <c r="AM180" s="158">
        <f t="shared" si="31"/>
        <v>-382</v>
      </c>
      <c r="AN180" s="154">
        <f t="shared" si="32"/>
        <v>3211</v>
      </c>
      <c r="AO180" s="154">
        <f t="shared" si="25"/>
        <v>15127.727272727272</v>
      </c>
      <c r="AP180" s="159">
        <f t="shared" si="46"/>
        <v>1.1716770701517722E-2</v>
      </c>
      <c r="AQ180" s="159">
        <f t="shared" si="47"/>
        <v>0.60720312319715253</v>
      </c>
      <c r="AR180" s="160">
        <f t="shared" si="51"/>
        <v>1.1960478419136765E-2</v>
      </c>
      <c r="AS180" s="160">
        <f t="shared" si="52"/>
        <v>0.6047841913676546</v>
      </c>
      <c r="AT180" s="159">
        <v>1.5899823335296274E-2</v>
      </c>
      <c r="AU180" s="159">
        <v>0.55870490327885247</v>
      </c>
      <c r="AV180" s="160">
        <v>1.8218623481781375E-2</v>
      </c>
      <c r="AW180" s="160">
        <v>0.58906882591093124</v>
      </c>
      <c r="AX180" s="159">
        <v>2.4468749239912112E-2</v>
      </c>
      <c r="AY180" s="159">
        <v>0.56484056396494287</v>
      </c>
      <c r="AZ180" s="160">
        <v>2.5993883792048929E-2</v>
      </c>
      <c r="BA180" s="160">
        <v>0.5902140672782874</v>
      </c>
      <c r="BB180" s="159">
        <v>1.0173506664086642E-2</v>
      </c>
      <c r="BC180" s="159">
        <f t="shared" si="33"/>
        <v>0.48705003488897103</v>
      </c>
      <c r="BD180" s="160">
        <v>7.9365079365079361E-3</v>
      </c>
      <c r="BE180" s="160">
        <f>SUM(BD$168:BD180)</f>
        <v>0.47089947089947093</v>
      </c>
      <c r="BF180" s="161">
        <f>Vergleich!C14</f>
        <v>34703</v>
      </c>
      <c r="BG180" s="159">
        <v>4.9979950276686114E-2</v>
      </c>
      <c r="BH180" s="159">
        <f t="shared" si="34"/>
        <v>0.55662843852754829</v>
      </c>
      <c r="BI180" s="160">
        <v>4.8991354466858816E-2</v>
      </c>
      <c r="BJ180" s="160">
        <f>SUM(BI$168:BI180)</f>
        <v>0.51296829971181557</v>
      </c>
      <c r="BK180" s="161"/>
      <c r="BL180" s="159"/>
      <c r="BM180" s="289"/>
      <c r="BN180" s="289"/>
      <c r="BO180" s="289"/>
      <c r="BP180" s="289"/>
      <c r="BQ180" s="289"/>
      <c r="BR180" s="289"/>
      <c r="BS180" s="289"/>
      <c r="BT180" s="289"/>
      <c r="BU180" s="289"/>
      <c r="BV180" s="289"/>
      <c r="BW180" s="289"/>
      <c r="BX180" s="289"/>
      <c r="BY180" s="289"/>
      <c r="BZ180" s="289"/>
      <c r="CA180" s="289"/>
      <c r="CB180" s="289"/>
      <c r="CC180" s="289"/>
      <c r="CD180" s="289"/>
      <c r="CE180" s="289"/>
    </row>
    <row r="181" spans="1:83" s="163" customFormat="1" x14ac:dyDescent="0.3">
      <c r="A181" s="279"/>
      <c r="B181" s="289"/>
      <c r="C181" s="289"/>
      <c r="D181" s="289"/>
      <c r="E181" s="284">
        <v>12</v>
      </c>
      <c r="F181" s="401">
        <f t="shared" si="35"/>
        <v>44326.666666666664</v>
      </c>
      <c r="G181" s="322">
        <f t="shared" si="26"/>
        <v>169780</v>
      </c>
      <c r="H181" s="323">
        <f t="shared" si="27"/>
        <v>169427.1577564755</v>
      </c>
      <c r="I181" s="323">
        <f t="shared" si="28"/>
        <v>226656.99944057668</v>
      </c>
      <c r="J181" s="325">
        <v>86154</v>
      </c>
      <c r="K181" s="325">
        <v>125000</v>
      </c>
      <c r="L181" s="324">
        <f t="shared" si="21"/>
        <v>0.61951832130292084</v>
      </c>
      <c r="M181" s="312">
        <f t="shared" si="29"/>
        <v>1.231519810576831E-2</v>
      </c>
      <c r="N181" s="313"/>
      <c r="O181" s="314"/>
      <c r="P181" s="229"/>
      <c r="Q181" s="98"/>
      <c r="R181" s="169">
        <v>12</v>
      </c>
      <c r="S181" s="171">
        <f t="shared" si="36"/>
        <v>2</v>
      </c>
      <c r="T181" s="148">
        <f t="shared" si="37"/>
        <v>44326</v>
      </c>
      <c r="U181" s="149">
        <v>0.66666666666666663</v>
      </c>
      <c r="V181" s="150">
        <f t="shared" si="20"/>
        <v>44326.666666666664</v>
      </c>
      <c r="W181" s="151">
        <f t="shared" si="22"/>
        <v>12</v>
      </c>
      <c r="X181" s="151">
        <f t="shared" si="38"/>
        <v>1</v>
      </c>
      <c r="Y181" s="164">
        <v>169780</v>
      </c>
      <c r="Z181" s="165">
        <v>1189</v>
      </c>
      <c r="AA181" s="166">
        <f t="shared" si="48"/>
        <v>26</v>
      </c>
      <c r="AB181" s="154">
        <f t="shared" si="39"/>
        <v>3375</v>
      </c>
      <c r="AC181" s="155">
        <f t="shared" si="23"/>
        <v>142.79226240538267</v>
      </c>
      <c r="AD181" s="156">
        <f t="shared" si="40"/>
        <v>129.80769230769232</v>
      </c>
      <c r="AE181" s="156">
        <f t="shared" si="59"/>
        <v>155.05517241379312</v>
      </c>
      <c r="AF181" s="154">
        <v>169427.1577564755</v>
      </c>
      <c r="AG181" s="154">
        <f t="shared" si="61"/>
        <v>352.8422435245011</v>
      </c>
      <c r="AH181" s="168">
        <v>1156</v>
      </c>
      <c r="AI181" s="158">
        <f t="shared" si="62"/>
        <v>33</v>
      </c>
      <c r="AJ181" s="154">
        <v>226656.99944057668</v>
      </c>
      <c r="AK181" s="154">
        <f t="shared" si="63"/>
        <v>-56876.999440576677</v>
      </c>
      <c r="AL181" s="168">
        <v>1712</v>
      </c>
      <c r="AM181" s="158">
        <f t="shared" si="31"/>
        <v>-523</v>
      </c>
      <c r="AN181" s="154">
        <f t="shared" si="32"/>
        <v>3375</v>
      </c>
      <c r="AO181" s="154">
        <f t="shared" si="25"/>
        <v>14148.333333333334</v>
      </c>
      <c r="AP181" s="159">
        <f t="shared" si="46"/>
        <v>1.2315198105768393E-2</v>
      </c>
      <c r="AQ181" s="172">
        <f t="shared" si="47"/>
        <v>0.61951832130292084</v>
      </c>
      <c r="AR181" s="160">
        <f t="shared" si="51"/>
        <v>1.3520540821632865E-2</v>
      </c>
      <c r="AS181" s="160">
        <f t="shared" si="52"/>
        <v>0.6183047321892875</v>
      </c>
      <c r="AT181" s="159">
        <v>4.371062543749514E-2</v>
      </c>
      <c r="AU181" s="172">
        <v>0.60241552871634763</v>
      </c>
      <c r="AV181" s="160">
        <v>4.048582995951417E-2</v>
      </c>
      <c r="AW181" s="160">
        <v>0.62955465587044546</v>
      </c>
      <c r="AX181" s="159">
        <v>1.3118103469243804E-2</v>
      </c>
      <c r="AY181" s="172">
        <v>0.57795866743418667</v>
      </c>
      <c r="AZ181" s="160">
        <v>1.3761467889908258E-2</v>
      </c>
      <c r="BA181" s="160">
        <v>0.60397553516819569</v>
      </c>
      <c r="BB181" s="159">
        <v>1.8130537524700806E-2</v>
      </c>
      <c r="BC181" s="172">
        <f t="shared" si="33"/>
        <v>0.50518057241367187</v>
      </c>
      <c r="BD181" s="160">
        <v>1.984126984126984E-2</v>
      </c>
      <c r="BE181" s="160">
        <f>SUM(BD$168:BD181)</f>
        <v>0.49074074074074076</v>
      </c>
      <c r="BF181" s="161">
        <f>Vergleich!C15</f>
        <v>36986</v>
      </c>
      <c r="BG181" s="159">
        <v>3.6618814660357768E-2</v>
      </c>
      <c r="BH181" s="172">
        <f t="shared" si="34"/>
        <v>0.59324725318790605</v>
      </c>
      <c r="BI181" s="160">
        <v>4.3227665706051854E-2</v>
      </c>
      <c r="BJ181" s="160">
        <f>SUM(BI$168:BI181)</f>
        <v>0.55619596541786742</v>
      </c>
      <c r="BK181" s="161">
        <v>125000</v>
      </c>
      <c r="BL181" s="172">
        <f>K181/$BK$191</f>
        <v>0.43795569289846087</v>
      </c>
      <c r="BM181" s="289"/>
      <c r="BN181" s="289"/>
      <c r="BO181" s="289"/>
      <c r="BP181" s="289"/>
      <c r="BQ181" s="289"/>
      <c r="BR181" s="289"/>
      <c r="BS181" s="289"/>
      <c r="BT181" s="289"/>
      <c r="BU181" s="289"/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</row>
    <row r="182" spans="1:83" s="163" customFormat="1" x14ac:dyDescent="0.3">
      <c r="A182" s="279"/>
      <c r="B182" s="289"/>
      <c r="C182" s="289"/>
      <c r="D182" s="289"/>
      <c r="E182" s="284">
        <v>13</v>
      </c>
      <c r="F182" s="401">
        <f t="shared" si="35"/>
        <v>44327.666666666664</v>
      </c>
      <c r="G182" s="322">
        <f t="shared" si="26"/>
        <v>172436</v>
      </c>
      <c r="H182" s="323">
        <f t="shared" si="27"/>
        <v>174111.04477712821</v>
      </c>
      <c r="I182" s="323">
        <f t="shared" si="28"/>
        <v>234094.68165574476</v>
      </c>
      <c r="J182" s="325">
        <v>89062</v>
      </c>
      <c r="K182" s="325"/>
      <c r="L182" s="324">
        <f t="shared" si="21"/>
        <v>0.62920992609371218</v>
      </c>
      <c r="M182" s="312">
        <f t="shared" si="29"/>
        <v>9.6916047907913416E-3</v>
      </c>
      <c r="N182" s="313"/>
      <c r="O182" s="314"/>
      <c r="P182" s="229"/>
      <c r="Q182" s="98"/>
      <c r="R182" s="169">
        <v>13</v>
      </c>
      <c r="S182" s="171">
        <f t="shared" si="36"/>
        <v>3</v>
      </c>
      <c r="T182" s="148">
        <f t="shared" si="37"/>
        <v>44327</v>
      </c>
      <c r="U182" s="149">
        <v>0.66666666666666663</v>
      </c>
      <c r="V182" s="150">
        <f t="shared" si="20"/>
        <v>44327.666666666664</v>
      </c>
      <c r="W182" s="151">
        <f t="shared" si="22"/>
        <v>13</v>
      </c>
      <c r="X182" s="151">
        <f t="shared" si="38"/>
        <v>1</v>
      </c>
      <c r="Y182" s="164">
        <v>172436</v>
      </c>
      <c r="Z182" s="165">
        <v>1205</v>
      </c>
      <c r="AA182" s="166">
        <f t="shared" si="48"/>
        <v>16</v>
      </c>
      <c r="AB182" s="154">
        <f t="shared" si="39"/>
        <v>2656</v>
      </c>
      <c r="AC182" s="155">
        <f t="shared" si="23"/>
        <v>143.10041493775933</v>
      </c>
      <c r="AD182" s="156">
        <f t="shared" si="40"/>
        <v>166</v>
      </c>
      <c r="AE182" s="156">
        <f t="shared" si="59"/>
        <v>151.09090909090909</v>
      </c>
      <c r="AF182" s="154">
        <v>174111.04477712821</v>
      </c>
      <c r="AG182" s="154">
        <f t="shared" si="61"/>
        <v>-1675.0447771282052</v>
      </c>
      <c r="AH182" s="168">
        <v>1187</v>
      </c>
      <c r="AI182" s="158">
        <f t="shared" si="62"/>
        <v>18</v>
      </c>
      <c r="AJ182" s="154">
        <v>234094.68165574476</v>
      </c>
      <c r="AK182" s="154">
        <f t="shared" si="63"/>
        <v>-61658.68165574476</v>
      </c>
      <c r="AL182" s="168">
        <v>1779</v>
      </c>
      <c r="AM182" s="158">
        <f t="shared" si="31"/>
        <v>-574</v>
      </c>
      <c r="AN182" s="154">
        <f t="shared" si="32"/>
        <v>2656</v>
      </c>
      <c r="AO182" s="154">
        <f t="shared" si="25"/>
        <v>13264.307692307691</v>
      </c>
      <c r="AP182" s="159">
        <f t="shared" si="46"/>
        <v>9.6916047907913642E-3</v>
      </c>
      <c r="AQ182" s="159">
        <f t="shared" si="47"/>
        <v>0.62920992609371218</v>
      </c>
      <c r="AR182" s="160">
        <f t="shared" si="51"/>
        <v>8.3203328133125334E-3</v>
      </c>
      <c r="AS182" s="160">
        <f t="shared" si="52"/>
        <v>0.62662506500260007</v>
      </c>
      <c r="AT182" s="159">
        <v>1.518872012533194E-2</v>
      </c>
      <c r="AU182" s="159">
        <v>0.61760424884167953</v>
      </c>
      <c r="AV182" s="160">
        <v>1.6194331983805668E-2</v>
      </c>
      <c r="AW182" s="160">
        <v>0.64574898785425117</v>
      </c>
      <c r="AX182" s="159">
        <v>2.2644538312483278E-2</v>
      </c>
      <c r="AY182" s="159">
        <v>0.60060320574666992</v>
      </c>
      <c r="AZ182" s="160">
        <v>2.2935779816513763E-2</v>
      </c>
      <c r="BA182" s="160">
        <v>0.62691131498470942</v>
      </c>
      <c r="BB182" s="159">
        <v>1.7051618085973462E-2</v>
      </c>
      <c r="BC182" s="159">
        <f t="shared" si="33"/>
        <v>0.52223219049964531</v>
      </c>
      <c r="BD182" s="160">
        <v>1.984126984126984E-2</v>
      </c>
      <c r="BE182" s="160">
        <f>SUM(BD$168:BD182)</f>
        <v>0.51058201058201058</v>
      </c>
      <c r="BF182" s="161">
        <f>Vergleich!C16</f>
        <v>37704</v>
      </c>
      <c r="BG182" s="159">
        <v>1.1516561071457154E-2</v>
      </c>
      <c r="BH182" s="159">
        <f t="shared" si="34"/>
        <v>0.60476381425936321</v>
      </c>
      <c r="BI182" s="160">
        <v>1.1527377521613813E-2</v>
      </c>
      <c r="BJ182" s="160">
        <f>SUM(BI$168:BI182)</f>
        <v>0.56772334293948123</v>
      </c>
      <c r="BK182" s="161"/>
      <c r="BL182" s="15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</row>
    <row r="183" spans="1:83" s="163" customFormat="1" x14ac:dyDescent="0.3">
      <c r="A183" s="279"/>
      <c r="B183" s="289"/>
      <c r="C183" s="289"/>
      <c r="D183" s="289"/>
      <c r="E183" s="284">
        <v>14</v>
      </c>
      <c r="F183" s="401">
        <f t="shared" si="35"/>
        <v>44328.666666666664</v>
      </c>
      <c r="G183" s="322">
        <f t="shared" si="26"/>
        <v>176629</v>
      </c>
      <c r="H183" s="323">
        <f t="shared" si="27"/>
        <v>180629.50790387561</v>
      </c>
      <c r="I183" s="323">
        <f t="shared" si="28"/>
        <v>245373.62476623742</v>
      </c>
      <c r="J183" s="325">
        <v>93109</v>
      </c>
      <c r="K183" s="325"/>
      <c r="L183" s="324">
        <f t="shared" si="21"/>
        <v>0.64450996332556021</v>
      </c>
      <c r="M183" s="312">
        <f t="shared" si="29"/>
        <v>1.5300037231848029E-2</v>
      </c>
      <c r="N183" s="313"/>
      <c r="O183" s="314"/>
      <c r="P183" s="229"/>
      <c r="Q183" s="98"/>
      <c r="R183" s="169">
        <v>14</v>
      </c>
      <c r="S183" s="171">
        <f t="shared" si="36"/>
        <v>4</v>
      </c>
      <c r="T183" s="148">
        <f t="shared" si="37"/>
        <v>44328</v>
      </c>
      <c r="U183" s="149">
        <v>0.66666666666666663</v>
      </c>
      <c r="V183" s="150">
        <f t="shared" si="20"/>
        <v>44328.666666666664</v>
      </c>
      <c r="W183" s="151">
        <f t="shared" si="22"/>
        <v>14</v>
      </c>
      <c r="X183" s="151">
        <f t="shared" si="38"/>
        <v>1</v>
      </c>
      <c r="Y183" s="164">
        <v>176629</v>
      </c>
      <c r="Z183" s="165">
        <v>1232</v>
      </c>
      <c r="AA183" s="166">
        <f t="shared" si="48"/>
        <v>27</v>
      </c>
      <c r="AB183" s="154">
        <f t="shared" si="39"/>
        <v>4193</v>
      </c>
      <c r="AC183" s="155">
        <f t="shared" si="23"/>
        <v>143.36769480519482</v>
      </c>
      <c r="AD183" s="156">
        <f t="shared" si="40"/>
        <v>155.2962962962963</v>
      </c>
      <c r="AE183" s="156">
        <f t="shared" si="59"/>
        <v>149.89166666666668</v>
      </c>
      <c r="AF183" s="154">
        <v>180629.50790387561</v>
      </c>
      <c r="AG183" s="154">
        <f t="shared" si="61"/>
        <v>-4000.5079038756085</v>
      </c>
      <c r="AH183" s="168">
        <v>1223</v>
      </c>
      <c r="AI183" s="158">
        <f t="shared" si="62"/>
        <v>9</v>
      </c>
      <c r="AJ183" s="154">
        <v>245373.62476623742</v>
      </c>
      <c r="AK183" s="154">
        <f t="shared" si="63"/>
        <v>-68744.624766237423</v>
      </c>
      <c r="AL183" s="168">
        <v>1871</v>
      </c>
      <c r="AM183" s="158">
        <f t="shared" si="31"/>
        <v>-639</v>
      </c>
      <c r="AN183" s="154">
        <f t="shared" si="32"/>
        <v>4193</v>
      </c>
      <c r="AO183" s="154">
        <f t="shared" si="25"/>
        <v>12616.357142857143</v>
      </c>
      <c r="AP183" s="159">
        <f t="shared" si="46"/>
        <v>1.5300037231847963E-2</v>
      </c>
      <c r="AQ183" s="159">
        <f t="shared" si="47"/>
        <v>0.64450996332556021</v>
      </c>
      <c r="AR183" s="160">
        <f t="shared" si="51"/>
        <v>1.4040561622464899E-2</v>
      </c>
      <c r="AS183" s="160">
        <f t="shared" si="52"/>
        <v>0.64066562662506499</v>
      </c>
      <c r="AT183" s="159">
        <v>2.3033077410250999E-2</v>
      </c>
      <c r="AU183" s="159">
        <v>0.64063732625193048</v>
      </c>
      <c r="AV183" s="160">
        <v>2.2267206477732792E-2</v>
      </c>
      <c r="AW183" s="160">
        <v>0.668016194331984</v>
      </c>
      <c r="AX183" s="159">
        <v>1.0799328690378706E-2</v>
      </c>
      <c r="AY183" s="159">
        <v>0.61140253443704862</v>
      </c>
      <c r="AZ183" s="160">
        <v>1.0703363914373088E-2</v>
      </c>
      <c r="BA183" s="160">
        <v>0.63761467889908252</v>
      </c>
      <c r="BB183" s="159">
        <v>2.3730363959399793E-2</v>
      </c>
      <c r="BC183" s="159">
        <f t="shared" si="33"/>
        <v>0.54596255445904507</v>
      </c>
      <c r="BD183" s="160">
        <v>2.2486772486772486E-2</v>
      </c>
      <c r="BE183" s="160">
        <f>SUM(BD$168:BD183)</f>
        <v>0.53306878306878303</v>
      </c>
      <c r="BF183" s="161">
        <f>Vergleich!C17</f>
        <v>38541</v>
      </c>
      <c r="BG183" s="159">
        <v>1.342529473093268E-2</v>
      </c>
      <c r="BH183" s="159">
        <f t="shared" si="34"/>
        <v>0.61818910899029589</v>
      </c>
      <c r="BI183" s="160">
        <v>2.3054755043227737E-2</v>
      </c>
      <c r="BJ183" s="160">
        <f>SUM(BI$168:BI183)</f>
        <v>0.59077809798270897</v>
      </c>
      <c r="BK183" s="161"/>
      <c r="BL183" s="159"/>
      <c r="BM183" s="289"/>
      <c r="BN183" s="289"/>
      <c r="BO183" s="289"/>
      <c r="BP183" s="289"/>
      <c r="BQ183" s="289"/>
      <c r="BR183" s="289"/>
      <c r="BS183" s="289"/>
      <c r="BT183" s="289"/>
      <c r="BU183" s="289"/>
      <c r="BV183" s="289"/>
      <c r="BW183" s="289"/>
      <c r="BX183" s="289"/>
      <c r="BY183" s="289"/>
      <c r="BZ183" s="289"/>
      <c r="CA183" s="289"/>
      <c r="CB183" s="289"/>
      <c r="CC183" s="289"/>
      <c r="CD183" s="289"/>
      <c r="CE183" s="289"/>
    </row>
    <row r="184" spans="1:83" s="163" customFormat="1" x14ac:dyDescent="0.3">
      <c r="A184" s="279"/>
      <c r="B184" s="289"/>
      <c r="C184" s="289"/>
      <c r="D184" s="289"/>
      <c r="E184" s="284">
        <v>15</v>
      </c>
      <c r="F184" s="401">
        <f t="shared" si="35"/>
        <v>44329.666666666664</v>
      </c>
      <c r="G184" s="322">
        <f t="shared" si="26"/>
        <v>188273</v>
      </c>
      <c r="H184" s="323">
        <f t="shared" si="27"/>
        <v>187647.28498399383</v>
      </c>
      <c r="I184" s="323">
        <f t="shared" si="28"/>
        <v>253513.1804311178</v>
      </c>
      <c r="J184" s="325">
        <v>97466</v>
      </c>
      <c r="K184" s="325"/>
      <c r="L184" s="324">
        <f t="shared" si="21"/>
        <v>0.68699830902735792</v>
      </c>
      <c r="M184" s="312">
        <f t="shared" si="29"/>
        <v>4.2488345701797714E-2</v>
      </c>
      <c r="N184" s="313"/>
      <c r="O184" s="314"/>
      <c r="P184" s="229"/>
      <c r="Q184" s="98"/>
      <c r="R184" s="169">
        <v>15</v>
      </c>
      <c r="S184" s="171">
        <f t="shared" si="36"/>
        <v>5</v>
      </c>
      <c r="T184" s="148">
        <f t="shared" si="37"/>
        <v>44329</v>
      </c>
      <c r="U184" s="149">
        <v>0.66666666666666663</v>
      </c>
      <c r="V184" s="150">
        <f t="shared" si="20"/>
        <v>44329.666666666664</v>
      </c>
      <c r="W184" s="151">
        <f t="shared" si="22"/>
        <v>15</v>
      </c>
      <c r="X184" s="151">
        <f t="shared" si="38"/>
        <v>1</v>
      </c>
      <c r="Y184" s="164">
        <v>188273</v>
      </c>
      <c r="Z184" s="165">
        <v>1313</v>
      </c>
      <c r="AA184" s="166">
        <f t="shared" si="48"/>
        <v>81</v>
      </c>
      <c r="AB184" s="154">
        <f t="shared" si="39"/>
        <v>11644</v>
      </c>
      <c r="AC184" s="155">
        <f t="shared" si="23"/>
        <v>143.39146991622241</v>
      </c>
      <c r="AD184" s="156">
        <f t="shared" si="40"/>
        <v>143.75308641975309</v>
      </c>
      <c r="AE184" s="156">
        <f t="shared" si="59"/>
        <v>144.96531791907515</v>
      </c>
      <c r="AF184" s="154">
        <v>187647.28498399383</v>
      </c>
      <c r="AG184" s="154">
        <f t="shared" si="61"/>
        <v>625.71501600617194</v>
      </c>
      <c r="AH184" s="168">
        <v>1263</v>
      </c>
      <c r="AI184" s="158">
        <f t="shared" si="62"/>
        <v>50</v>
      </c>
      <c r="AJ184" s="154">
        <v>253513.1804311178</v>
      </c>
      <c r="AK184" s="154">
        <f t="shared" si="63"/>
        <v>-65240.180431117798</v>
      </c>
      <c r="AL184" s="168">
        <v>1929</v>
      </c>
      <c r="AM184" s="158">
        <f t="shared" si="31"/>
        <v>-616</v>
      </c>
      <c r="AN184" s="154">
        <f t="shared" si="32"/>
        <v>11644</v>
      </c>
      <c r="AO184" s="154">
        <f t="shared" si="25"/>
        <v>12551.533333333333</v>
      </c>
      <c r="AP184" s="159">
        <f t="shared" si="46"/>
        <v>4.2488345701797686E-2</v>
      </c>
      <c r="AQ184" s="159">
        <f t="shared" si="47"/>
        <v>0.68699830902735792</v>
      </c>
      <c r="AR184" s="160">
        <f t="shared" si="51"/>
        <v>4.2121684867394697E-2</v>
      </c>
      <c r="AS184" s="160">
        <f t="shared" si="52"/>
        <v>0.68278731149245964</v>
      </c>
      <c r="AT184" s="159">
        <v>1.6622037532916301E-2</v>
      </c>
      <c r="AU184" s="159">
        <v>0.65725936378484673</v>
      </c>
      <c r="AV184" s="160">
        <v>1.417004048582996E-2</v>
      </c>
      <c r="AW184" s="160">
        <v>0.68218623481781393</v>
      </c>
      <c r="AX184" s="159">
        <v>1.3012704615659027E-2</v>
      </c>
      <c r="AY184" s="159">
        <v>0.62441523905270768</v>
      </c>
      <c r="AZ184" s="160">
        <v>1.5290519877675841E-2</v>
      </c>
      <c r="BA184" s="160">
        <v>0.65290519877675834</v>
      </c>
      <c r="BB184" s="159">
        <v>2.5548108665951298E-2</v>
      </c>
      <c r="BC184" s="159">
        <f t="shared" si="33"/>
        <v>0.57151066312499632</v>
      </c>
      <c r="BD184" s="160">
        <v>2.5132275132275131E-2</v>
      </c>
      <c r="BE184" s="160">
        <f>SUM(BD$168:BD184)</f>
        <v>0.55820105820105814</v>
      </c>
      <c r="BF184" s="161">
        <f>Vergleich!C18</f>
        <v>40401</v>
      </c>
      <c r="BG184" s="159">
        <v>2.9833988290961622E-2</v>
      </c>
      <c r="BH184" s="159">
        <f t="shared" si="34"/>
        <v>0.64802309728125751</v>
      </c>
      <c r="BI184" s="160">
        <v>2.5936599423631135E-2</v>
      </c>
      <c r="BJ184" s="160">
        <f>SUM(BI$168:BI184)</f>
        <v>0.61671469740634011</v>
      </c>
      <c r="BK184" s="161"/>
      <c r="BL184" s="159"/>
      <c r="BM184" s="289"/>
      <c r="BN184" s="289"/>
      <c r="BO184" s="289"/>
      <c r="BP184" s="289"/>
      <c r="BQ184" s="289"/>
      <c r="BR184" s="289"/>
      <c r="BS184" s="289"/>
      <c r="BT184" s="289"/>
      <c r="BU184" s="289"/>
      <c r="BV184" s="289"/>
      <c r="BW184" s="289"/>
      <c r="BX184" s="289"/>
      <c r="BY184" s="289"/>
      <c r="BZ184" s="289"/>
      <c r="CA184" s="289"/>
      <c r="CB184" s="289"/>
      <c r="CC184" s="289"/>
      <c r="CD184" s="289"/>
      <c r="CE184" s="289"/>
    </row>
    <row r="185" spans="1:83" s="163" customFormat="1" x14ac:dyDescent="0.3">
      <c r="A185" s="279"/>
      <c r="B185" s="289"/>
      <c r="C185" s="289"/>
      <c r="D185" s="289"/>
      <c r="E185" s="284">
        <v>16</v>
      </c>
      <c r="F185" s="401">
        <f t="shared" si="35"/>
        <v>44330.666666666664</v>
      </c>
      <c r="G185" s="322">
        <f t="shared" si="26"/>
        <v>193264</v>
      </c>
      <c r="H185" s="323">
        <f t="shared" si="27"/>
        <v>197288.8763545671</v>
      </c>
      <c r="I185" s="323">
        <f t="shared" si="28"/>
        <v>268138.26440651785</v>
      </c>
      <c r="J185" s="325">
        <v>103452</v>
      </c>
      <c r="K185" s="325"/>
      <c r="L185" s="324">
        <f t="shared" si="21"/>
        <v>0.70521020643354748</v>
      </c>
      <c r="M185" s="312">
        <f t="shared" si="29"/>
        <v>1.8211897406189559E-2</v>
      </c>
      <c r="N185" s="313"/>
      <c r="O185" s="314"/>
      <c r="P185" s="229"/>
      <c r="Q185" s="98"/>
      <c r="R185" s="169">
        <v>16</v>
      </c>
      <c r="S185" s="171">
        <f t="shared" si="36"/>
        <v>6</v>
      </c>
      <c r="T185" s="148">
        <f t="shared" si="37"/>
        <v>44330</v>
      </c>
      <c r="U185" s="149">
        <v>0.66666666666666663</v>
      </c>
      <c r="V185" s="150">
        <f t="shared" si="20"/>
        <v>44330.666666666664</v>
      </c>
      <c r="W185" s="151">
        <f t="shared" si="22"/>
        <v>16</v>
      </c>
      <c r="X185" s="151">
        <f t="shared" si="38"/>
        <v>1</v>
      </c>
      <c r="Y185" s="164">
        <v>193264</v>
      </c>
      <c r="Z185" s="165">
        <v>1350</v>
      </c>
      <c r="AA185" s="166">
        <f t="shared" si="48"/>
        <v>37</v>
      </c>
      <c r="AB185" s="154">
        <f t="shared" si="39"/>
        <v>4991</v>
      </c>
      <c r="AC185" s="155">
        <f t="shared" si="23"/>
        <v>143.15851851851852</v>
      </c>
      <c r="AD185" s="156">
        <f t="shared" si="40"/>
        <v>134.8918918918919</v>
      </c>
      <c r="AE185" s="156">
        <f t="shared" si="59"/>
        <v>143.63101604278074</v>
      </c>
      <c r="AF185" s="154">
        <v>197288.8763545671</v>
      </c>
      <c r="AG185" s="154">
        <f t="shared" si="61"/>
        <v>-4024.8763545670954</v>
      </c>
      <c r="AH185" s="168">
        <v>1311</v>
      </c>
      <c r="AI185" s="158">
        <f t="shared" si="62"/>
        <v>39</v>
      </c>
      <c r="AJ185" s="154">
        <v>268138.26440651785</v>
      </c>
      <c r="AK185" s="154">
        <f t="shared" si="63"/>
        <v>-74874.264406517847</v>
      </c>
      <c r="AL185" s="168">
        <v>2029</v>
      </c>
      <c r="AM185" s="158">
        <f t="shared" si="31"/>
        <v>-679</v>
      </c>
      <c r="AN185" s="154">
        <f t="shared" si="32"/>
        <v>4991</v>
      </c>
      <c r="AO185" s="154">
        <f t="shared" si="25"/>
        <v>12079</v>
      </c>
      <c r="AP185" s="159">
        <f t="shared" si="46"/>
        <v>1.8211897406189646E-2</v>
      </c>
      <c r="AQ185" s="159">
        <f t="shared" si="47"/>
        <v>0.70521020643354748</v>
      </c>
      <c r="AR185" s="160">
        <f t="shared" si="51"/>
        <v>1.9240769630785231E-2</v>
      </c>
      <c r="AS185" s="160">
        <f t="shared" si="52"/>
        <v>0.70202808112324488</v>
      </c>
      <c r="AT185" s="159">
        <v>2.9866334818502017E-2</v>
      </c>
      <c r="AU185" s="159">
        <v>0.68712569860334871</v>
      </c>
      <c r="AV185" s="160">
        <v>2.4291497975708502E-2</v>
      </c>
      <c r="AW185" s="160">
        <v>0.70647773279352244</v>
      </c>
      <c r="AX185" s="159">
        <v>2.4590363301740702E-2</v>
      </c>
      <c r="AY185" s="159">
        <v>0.64900560235444837</v>
      </c>
      <c r="AZ185" s="160">
        <v>2.5993883792048929E-2</v>
      </c>
      <c r="BA185" s="160">
        <v>0.67889908256880727</v>
      </c>
      <c r="BB185" s="159">
        <v>3.5100063914249358E-2</v>
      </c>
      <c r="BC185" s="159">
        <f t="shared" si="33"/>
        <v>0.60661072703924568</v>
      </c>
      <c r="BD185" s="160">
        <v>3.0423280423280422E-2</v>
      </c>
      <c r="BE185" s="160">
        <f>SUM(BD$168:BD185)</f>
        <v>0.58862433862433861</v>
      </c>
      <c r="BF185" s="161">
        <f>Vergleich!C19</f>
        <v>42277</v>
      </c>
      <c r="BG185" s="159">
        <v>3.0090624749378514E-2</v>
      </c>
      <c r="BH185" s="159">
        <f t="shared" si="34"/>
        <v>0.67811372203063602</v>
      </c>
      <c r="BI185" s="160">
        <v>2.8818443804034533E-2</v>
      </c>
      <c r="BJ185" s="160">
        <f>SUM(BI$168:BI185)</f>
        <v>0.64553314121037464</v>
      </c>
      <c r="BK185" s="161"/>
      <c r="BL185" s="159"/>
      <c r="BM185" s="289"/>
      <c r="BN185" s="289"/>
      <c r="BO185" s="289"/>
      <c r="BP185" s="289"/>
      <c r="BQ185" s="289"/>
      <c r="BR185" s="289"/>
      <c r="BS185" s="289"/>
      <c r="BT185" s="289"/>
      <c r="BU185" s="289"/>
      <c r="BV185" s="289"/>
      <c r="BW185" s="289"/>
      <c r="BX185" s="289"/>
      <c r="BY185" s="289"/>
      <c r="BZ185" s="289"/>
      <c r="CA185" s="289"/>
      <c r="CB185" s="289"/>
      <c r="CC185" s="289"/>
      <c r="CD185" s="289"/>
      <c r="CE185" s="289"/>
    </row>
    <row r="186" spans="1:83" s="163" customFormat="1" x14ac:dyDescent="0.3">
      <c r="A186" s="279"/>
      <c r="B186" s="289"/>
      <c r="C186" s="289"/>
      <c r="D186" s="289"/>
      <c r="E186" s="284">
        <v>17</v>
      </c>
      <c r="F186" s="401">
        <f t="shared" si="35"/>
        <v>44331.666666666664</v>
      </c>
      <c r="G186" s="322">
        <f t="shared" si="26"/>
        <v>198261</v>
      </c>
      <c r="H186" s="323">
        <f t="shared" si="27"/>
        <v>207106.03295390622</v>
      </c>
      <c r="I186" s="323">
        <f t="shared" si="28"/>
        <v>281283.42917012144</v>
      </c>
      <c r="J186" s="325">
        <v>109547</v>
      </c>
      <c r="K186" s="325"/>
      <c r="L186" s="324">
        <f t="shared" si="21"/>
        <v>0.72344399752525856</v>
      </c>
      <c r="M186" s="312">
        <f t="shared" si="29"/>
        <v>1.8233791091711082E-2</v>
      </c>
      <c r="N186" s="313"/>
      <c r="O186" s="314"/>
      <c r="P186" s="229"/>
      <c r="Q186" s="98"/>
      <c r="R186" s="169">
        <v>17</v>
      </c>
      <c r="S186" s="171">
        <f t="shared" si="36"/>
        <v>7</v>
      </c>
      <c r="T186" s="148">
        <f t="shared" si="37"/>
        <v>44331</v>
      </c>
      <c r="U186" s="149">
        <v>0.66666666666666663</v>
      </c>
      <c r="V186" s="150">
        <f t="shared" si="20"/>
        <v>44331.666666666664</v>
      </c>
      <c r="W186" s="151">
        <f t="shared" si="22"/>
        <v>17</v>
      </c>
      <c r="X186" s="151">
        <f t="shared" si="38"/>
        <v>1</v>
      </c>
      <c r="Y186" s="164">
        <v>198261</v>
      </c>
      <c r="Z186" s="165">
        <v>1384</v>
      </c>
      <c r="AA186" s="166">
        <f t="shared" si="48"/>
        <v>34</v>
      </c>
      <c r="AB186" s="154">
        <f t="shared" si="39"/>
        <v>4997</v>
      </c>
      <c r="AC186" s="155">
        <f t="shared" si="23"/>
        <v>143.25216763005781</v>
      </c>
      <c r="AD186" s="156">
        <f t="shared" si="40"/>
        <v>146.97058823529412</v>
      </c>
      <c r="AE186" s="156">
        <f t="shared" si="59"/>
        <v>146.05641025641026</v>
      </c>
      <c r="AF186" s="154">
        <v>207106.03295390622</v>
      </c>
      <c r="AG186" s="154">
        <f t="shared" si="61"/>
        <v>-8845.0329539062222</v>
      </c>
      <c r="AH186" s="168">
        <v>1366</v>
      </c>
      <c r="AI186" s="158">
        <f t="shared" si="62"/>
        <v>18</v>
      </c>
      <c r="AJ186" s="154">
        <v>281283.42917012144</v>
      </c>
      <c r="AK186" s="154">
        <f t="shared" si="63"/>
        <v>-83022.429170121439</v>
      </c>
      <c r="AL186" s="168">
        <v>2146</v>
      </c>
      <c r="AM186" s="158">
        <f t="shared" si="31"/>
        <v>-762</v>
      </c>
      <c r="AN186" s="154">
        <f t="shared" si="32"/>
        <v>4997</v>
      </c>
      <c r="AO186" s="154">
        <f t="shared" si="25"/>
        <v>11662.411764705883</v>
      </c>
      <c r="AP186" s="159">
        <f t="shared" si="46"/>
        <v>1.8233791091711013E-2</v>
      </c>
      <c r="AQ186" s="159">
        <f t="shared" si="47"/>
        <v>0.72344399752525856</v>
      </c>
      <c r="AR186" s="160">
        <f t="shared" si="51"/>
        <v>1.7680707228289131E-2</v>
      </c>
      <c r="AS186" s="160">
        <f t="shared" si="52"/>
        <v>0.71970878835153407</v>
      </c>
      <c r="AT186" s="159">
        <v>2.6844146176153598E-2</v>
      </c>
      <c r="AU186" s="159">
        <v>0.71396984477950232</v>
      </c>
      <c r="AV186" s="160">
        <v>2.8340080971659919E-2</v>
      </c>
      <c r="AW186" s="160">
        <v>0.7348178137651824</v>
      </c>
      <c r="AX186" s="159">
        <v>5.5001986363009868E-2</v>
      </c>
      <c r="AY186" s="159">
        <v>0.70400758871745828</v>
      </c>
      <c r="AZ186" s="160">
        <v>6.5749235474006115E-2</v>
      </c>
      <c r="BA186" s="160">
        <v>0.7446483180428134</v>
      </c>
      <c r="BB186" s="159">
        <v>3.5739206407843276E-2</v>
      </c>
      <c r="BC186" s="159">
        <f t="shared" si="33"/>
        <v>0.64234993344708891</v>
      </c>
      <c r="BD186" s="160">
        <v>3.439153439153439E-2</v>
      </c>
      <c r="BE186" s="160">
        <f>SUM(BD171:BD186)</f>
        <v>0.38624338624338628</v>
      </c>
      <c r="BF186" s="161">
        <f>Vergleich!C20</f>
        <v>44039</v>
      </c>
      <c r="BG186" s="159">
        <v>2.8262089983158156E-2</v>
      </c>
      <c r="BH186" s="159">
        <f t="shared" si="34"/>
        <v>0.70637581201379418</v>
      </c>
      <c r="BI186" s="160">
        <v>2.5936599423631135E-2</v>
      </c>
      <c r="BJ186" s="160">
        <f>SUM(BI171:BI186)</f>
        <v>0.46109510086455335</v>
      </c>
      <c r="BK186" s="161"/>
      <c r="BL186" s="159"/>
      <c r="BM186" s="289"/>
      <c r="BN186" s="289"/>
      <c r="BO186" s="289"/>
      <c r="BP186" s="289"/>
      <c r="BQ186" s="289"/>
      <c r="BR186" s="289"/>
      <c r="BS186" s="289"/>
      <c r="BT186" s="289"/>
      <c r="BU186" s="289"/>
      <c r="BV186" s="289"/>
      <c r="BW186" s="289"/>
      <c r="BX186" s="289"/>
      <c r="BY186" s="289"/>
      <c r="BZ186" s="289"/>
      <c r="CA186" s="289"/>
      <c r="CB186" s="289"/>
      <c r="CC186" s="289"/>
      <c r="CD186" s="289"/>
      <c r="CE186" s="289"/>
    </row>
    <row r="187" spans="1:83" s="163" customFormat="1" x14ac:dyDescent="0.3">
      <c r="A187" s="279"/>
      <c r="B187" s="289"/>
      <c r="C187" s="289"/>
      <c r="D187" s="289"/>
      <c r="E187" s="284">
        <v>18</v>
      </c>
      <c r="F187" s="401">
        <f t="shared" si="35"/>
        <v>44332.666666666664</v>
      </c>
      <c r="G187" s="322">
        <f t="shared" si="26"/>
        <v>203119</v>
      </c>
      <c r="H187" s="323">
        <f t="shared" si="27"/>
        <v>216565.61633502497</v>
      </c>
      <c r="I187" s="323">
        <f t="shared" si="28"/>
        <v>294836.6598928601</v>
      </c>
      <c r="J187" s="325">
        <v>115420</v>
      </c>
      <c r="K187" s="325"/>
      <c r="L187" s="324">
        <f t="shared" si="21"/>
        <v>0.74117058490239118</v>
      </c>
      <c r="M187" s="312">
        <f t="shared" si="29"/>
        <v>1.7726587377132619E-2</v>
      </c>
      <c r="N187" s="313"/>
      <c r="O187" s="314"/>
      <c r="P187" s="229"/>
      <c r="Q187" s="98"/>
      <c r="R187" s="169">
        <v>18</v>
      </c>
      <c r="S187" s="171">
        <f t="shared" si="36"/>
        <v>1</v>
      </c>
      <c r="T187" s="148">
        <f t="shared" si="37"/>
        <v>44332</v>
      </c>
      <c r="U187" s="149">
        <v>0.66666666666666663</v>
      </c>
      <c r="V187" s="150">
        <f t="shared" si="20"/>
        <v>44332.666666666664</v>
      </c>
      <c r="W187" s="151">
        <f t="shared" si="22"/>
        <v>18</v>
      </c>
      <c r="X187" s="151">
        <f t="shared" si="38"/>
        <v>1</v>
      </c>
      <c r="Y187" s="164">
        <v>203119</v>
      </c>
      <c r="Z187" s="165">
        <v>1419</v>
      </c>
      <c r="AA187" s="166">
        <f t="shared" si="48"/>
        <v>35</v>
      </c>
      <c r="AB187" s="154">
        <f t="shared" si="39"/>
        <v>4858</v>
      </c>
      <c r="AC187" s="155">
        <f t="shared" si="23"/>
        <v>143.14235377026074</v>
      </c>
      <c r="AD187" s="156">
        <f t="shared" si="40"/>
        <v>138.80000000000001</v>
      </c>
      <c r="AE187" s="156">
        <f t="shared" si="59"/>
        <v>143.37850467289721</v>
      </c>
      <c r="AF187" s="154">
        <v>216565.61633502497</v>
      </c>
      <c r="AG187" s="154">
        <f t="shared" si="61"/>
        <v>-13446.61633502497</v>
      </c>
      <c r="AH187" s="168">
        <v>1429</v>
      </c>
      <c r="AI187" s="158">
        <f t="shared" si="62"/>
        <v>-10</v>
      </c>
      <c r="AJ187" s="154">
        <v>294836.6598928601</v>
      </c>
      <c r="AK187" s="154">
        <f t="shared" si="63"/>
        <v>-91717.659892860102</v>
      </c>
      <c r="AL187" s="168">
        <v>2263</v>
      </c>
      <c r="AM187" s="158">
        <f t="shared" si="31"/>
        <v>-844</v>
      </c>
      <c r="AN187" s="154">
        <f t="shared" si="32"/>
        <v>4858</v>
      </c>
      <c r="AO187" s="154">
        <f t="shared" si="25"/>
        <v>11284.388888888889</v>
      </c>
      <c r="AP187" s="159">
        <f t="shared" si="46"/>
        <v>1.7726587377132699E-2</v>
      </c>
      <c r="AQ187" s="159">
        <f t="shared" si="47"/>
        <v>0.74117058490239118</v>
      </c>
      <c r="AR187" s="160">
        <f t="shared" si="51"/>
        <v>1.8200728029121163E-2</v>
      </c>
      <c r="AS187" s="160">
        <f t="shared" si="52"/>
        <v>0.73790951638065527</v>
      </c>
      <c r="AT187" s="159">
        <v>2.7677470250330551E-2</v>
      </c>
      <c r="AU187" s="159">
        <v>0.74164731502983283</v>
      </c>
      <c r="AV187" s="160">
        <v>2.8340080971659919E-2</v>
      </c>
      <c r="AW187" s="160">
        <v>0.76315789473684237</v>
      </c>
      <c r="AX187" s="159">
        <v>4.1681192790718413E-2</v>
      </c>
      <c r="AY187" s="159">
        <v>0.74568878150817675</v>
      </c>
      <c r="AZ187" s="160">
        <v>4.1284403669724773E-2</v>
      </c>
      <c r="BA187" s="160">
        <v>0.78593272171253814</v>
      </c>
      <c r="BB187" s="159">
        <v>3.4437466650248327E-2</v>
      </c>
      <c r="BC187" s="159">
        <f t="shared" si="33"/>
        <v>0.67678740009733729</v>
      </c>
      <c r="BD187" s="160">
        <v>3.968253968253968E-2</v>
      </c>
      <c r="BE187" s="160">
        <f>SUM(BD$168:BD187)</f>
        <v>0.66269841269841268</v>
      </c>
      <c r="BF187" s="161">
        <f>Vergleich!C21</f>
        <v>46661</v>
      </c>
      <c r="BG187" s="159">
        <v>4.205629962306523E-2</v>
      </c>
      <c r="BH187" s="159">
        <f t="shared" si="34"/>
        <v>0.74843211163685941</v>
      </c>
      <c r="BI187" s="160">
        <v>4.8991354466858761E-2</v>
      </c>
      <c r="BJ187" s="160">
        <f>SUM(BI$168:BI187)</f>
        <v>0.72046109510086453</v>
      </c>
      <c r="BK187" s="161"/>
      <c r="BL187" s="159"/>
      <c r="BM187" s="289"/>
      <c r="BN187" s="289"/>
      <c r="BO187" s="289"/>
      <c r="BP187" s="289"/>
      <c r="BQ187" s="289"/>
      <c r="BR187" s="289"/>
      <c r="BS187" s="289"/>
      <c r="BT187" s="289"/>
      <c r="BU187" s="289"/>
      <c r="BV187" s="289"/>
      <c r="BW187" s="289"/>
      <c r="BX187" s="289"/>
      <c r="BY187" s="289"/>
      <c r="BZ187" s="289"/>
      <c r="CA187" s="289"/>
      <c r="CB187" s="289"/>
      <c r="CC187" s="289"/>
      <c r="CD187" s="289"/>
      <c r="CE187" s="289"/>
    </row>
    <row r="188" spans="1:83" s="163" customFormat="1" x14ac:dyDescent="0.3">
      <c r="A188" s="279"/>
      <c r="B188" s="289"/>
      <c r="C188" s="289"/>
      <c r="D188" s="289"/>
      <c r="E188" s="284">
        <v>19</v>
      </c>
      <c r="F188" s="401">
        <f t="shared" si="35"/>
        <v>44333.666666666664</v>
      </c>
      <c r="G188" s="322">
        <f t="shared" si="26"/>
        <v>212186</v>
      </c>
      <c r="H188" s="323">
        <f t="shared" si="27"/>
        <v>229647.6419133404</v>
      </c>
      <c r="I188" s="323">
        <f t="shared" si="28"/>
        <v>320321.73926070746</v>
      </c>
      <c r="J188" s="325">
        <v>123542</v>
      </c>
      <c r="K188" s="325"/>
      <c r="L188" s="324">
        <f t="shared" si="21"/>
        <v>0.77425559267276223</v>
      </c>
      <c r="M188" s="312">
        <f t="shared" si="29"/>
        <v>3.3085007770371044E-2</v>
      </c>
      <c r="N188" s="313"/>
      <c r="O188" s="314"/>
      <c r="P188" s="229"/>
      <c r="Q188" s="98"/>
      <c r="R188" s="169">
        <v>19</v>
      </c>
      <c r="S188" s="171">
        <f t="shared" si="36"/>
        <v>2</v>
      </c>
      <c r="T188" s="148">
        <f t="shared" si="37"/>
        <v>44333</v>
      </c>
      <c r="U188" s="149">
        <v>0.66666666666666663</v>
      </c>
      <c r="V188" s="150">
        <f t="shared" si="20"/>
        <v>44333.666666666664</v>
      </c>
      <c r="W188" s="151">
        <f t="shared" si="22"/>
        <v>19</v>
      </c>
      <c r="X188" s="151">
        <f t="shared" si="38"/>
        <v>1</v>
      </c>
      <c r="Y188" s="164">
        <v>212186</v>
      </c>
      <c r="Z188" s="165">
        <v>1483</v>
      </c>
      <c r="AA188" s="166">
        <f t="shared" si="48"/>
        <v>64</v>
      </c>
      <c r="AB188" s="154">
        <f t="shared" si="39"/>
        <v>9067</v>
      </c>
      <c r="AC188" s="155">
        <f t="shared" si="23"/>
        <v>143.07889413351316</v>
      </c>
      <c r="AD188" s="156">
        <f t="shared" si="40"/>
        <v>141.671875</v>
      </c>
      <c r="AE188" s="156">
        <f t="shared" si="59"/>
        <v>141.66135458167329</v>
      </c>
      <c r="AF188" s="154">
        <v>229647.6419133404</v>
      </c>
      <c r="AG188" s="154">
        <f t="shared" si="61"/>
        <v>-17461.641913340398</v>
      </c>
      <c r="AH188" s="168">
        <v>1505</v>
      </c>
      <c r="AI188" s="158">
        <f t="shared" si="62"/>
        <v>-22</v>
      </c>
      <c r="AJ188" s="154">
        <v>320321.73926070746</v>
      </c>
      <c r="AK188" s="154">
        <f t="shared" si="63"/>
        <v>-108135.73926070746</v>
      </c>
      <c r="AL188" s="168">
        <v>2463</v>
      </c>
      <c r="AM188" s="158">
        <f t="shared" si="31"/>
        <v>-980</v>
      </c>
      <c r="AN188" s="154">
        <f t="shared" si="32"/>
        <v>9067</v>
      </c>
      <c r="AO188" s="154">
        <f t="shared" si="25"/>
        <v>11167.684210526315</v>
      </c>
      <c r="AP188" s="159">
        <f t="shared" si="46"/>
        <v>3.3085007770370968E-2</v>
      </c>
      <c r="AQ188" s="159">
        <f t="shared" si="47"/>
        <v>0.77425559267276223</v>
      </c>
      <c r="AR188" s="160">
        <f t="shared" si="51"/>
        <v>3.3281331253250133E-2</v>
      </c>
      <c r="AS188" s="160">
        <f t="shared" si="52"/>
        <v>0.77119084763390544</v>
      </c>
      <c r="AT188" s="159">
        <v>5.2043866179264674E-2</v>
      </c>
      <c r="AU188" s="159">
        <v>0.79369118120909754</v>
      </c>
      <c r="AV188" s="160">
        <v>4.8582995951417005E-2</v>
      </c>
      <c r="AW188" s="160">
        <v>0.81174089068825939</v>
      </c>
      <c r="AX188" s="159">
        <v>7.4557527505046989E-2</v>
      </c>
      <c r="AY188" s="159">
        <v>0.82024630901322371</v>
      </c>
      <c r="AZ188" s="160">
        <v>5.3516819571865444E-2</v>
      </c>
      <c r="BA188" s="160">
        <v>0.83944954128440363</v>
      </c>
      <c r="BB188" s="159">
        <v>4.76249113116494E-2</v>
      </c>
      <c r="BC188" s="159">
        <f t="shared" si="33"/>
        <v>0.72441231140898665</v>
      </c>
      <c r="BD188" s="160">
        <v>4.7619047619047616E-2</v>
      </c>
      <c r="BE188" s="160">
        <f>SUM(BD$168:BD188)</f>
        <v>0.71031746031746024</v>
      </c>
      <c r="BF188" s="161">
        <f>Vergleich!C22</f>
        <v>49576</v>
      </c>
      <c r="BG188" s="159">
        <v>4.6755954767824237E-2</v>
      </c>
      <c r="BH188" s="159">
        <f t="shared" si="34"/>
        <v>0.79518806640468365</v>
      </c>
      <c r="BI188" s="160">
        <v>4.8991354466858761E-2</v>
      </c>
      <c r="BJ188" s="160">
        <f>SUM(BI$168:BI188)</f>
        <v>0.7694524495677233</v>
      </c>
      <c r="BK188" s="161"/>
      <c r="BL188" s="159"/>
      <c r="BM188" s="289"/>
      <c r="BN188" s="289"/>
      <c r="BO188" s="289"/>
      <c r="BP188" s="289"/>
      <c r="BQ188" s="289"/>
      <c r="BR188" s="289"/>
      <c r="BS188" s="289"/>
      <c r="BT188" s="289"/>
      <c r="BU188" s="289"/>
      <c r="BV188" s="289"/>
      <c r="BW188" s="289"/>
      <c r="BX188" s="289"/>
      <c r="BY188" s="289"/>
      <c r="BZ188" s="289"/>
      <c r="CA188" s="289"/>
      <c r="CB188" s="289"/>
      <c r="CC188" s="289"/>
      <c r="CD188" s="289"/>
      <c r="CE188" s="289"/>
    </row>
    <row r="189" spans="1:83" s="163" customFormat="1" x14ac:dyDescent="0.3">
      <c r="A189" s="279"/>
      <c r="B189" s="289"/>
      <c r="C189" s="289"/>
      <c r="D189" s="289"/>
      <c r="E189" s="284">
        <v>20</v>
      </c>
      <c r="F189" s="401">
        <f t="shared" si="35"/>
        <v>44334.666666666664</v>
      </c>
      <c r="G189" s="322">
        <f t="shared" si="26"/>
        <v>220897</v>
      </c>
      <c r="H189" s="323">
        <f t="shared" si="27"/>
        <v>240571.34266095614</v>
      </c>
      <c r="I189" s="323">
        <f t="shared" si="28"/>
        <v>361454.78794151999</v>
      </c>
      <c r="J189" s="325">
        <v>130324</v>
      </c>
      <c r="K189" s="325"/>
      <c r="L189" s="324">
        <f t="shared" si="21"/>
        <v>0.80604157510219876</v>
      </c>
      <c r="M189" s="312">
        <f t="shared" si="29"/>
        <v>3.1785982429436532E-2</v>
      </c>
      <c r="N189" s="313"/>
      <c r="O189" s="314"/>
      <c r="P189" s="229"/>
      <c r="Q189" s="98"/>
      <c r="R189" s="169">
        <v>20</v>
      </c>
      <c r="S189" s="171">
        <f t="shared" si="36"/>
        <v>3</v>
      </c>
      <c r="T189" s="148">
        <f t="shared" si="37"/>
        <v>44334</v>
      </c>
      <c r="U189" s="149">
        <v>0.66666666666666663</v>
      </c>
      <c r="V189" s="150">
        <f t="shared" si="20"/>
        <v>44334.666666666664</v>
      </c>
      <c r="W189" s="151">
        <f t="shared" si="22"/>
        <v>20</v>
      </c>
      <c r="X189" s="151">
        <f t="shared" si="38"/>
        <v>1</v>
      </c>
      <c r="Y189" s="164">
        <v>220897</v>
      </c>
      <c r="Z189" s="165">
        <v>1545</v>
      </c>
      <c r="AA189" s="166">
        <f t="shared" si="48"/>
        <v>62</v>
      </c>
      <c r="AB189" s="154">
        <f t="shared" si="39"/>
        <v>8711</v>
      </c>
      <c r="AC189" s="155">
        <f t="shared" si="23"/>
        <v>142.97540453074433</v>
      </c>
      <c r="AD189" s="156">
        <f t="shared" si="40"/>
        <v>140.5</v>
      </c>
      <c r="AE189" s="156">
        <f t="shared" si="59"/>
        <v>140.62068965517241</v>
      </c>
      <c r="AF189" s="154">
        <v>240571.34266095614</v>
      </c>
      <c r="AG189" s="154">
        <f t="shared" si="61"/>
        <v>-19674.342660956143</v>
      </c>
      <c r="AH189" s="168">
        <v>1587</v>
      </c>
      <c r="AI189" s="158">
        <f t="shared" si="62"/>
        <v>-42</v>
      </c>
      <c r="AJ189" s="154">
        <v>361454.78794151999</v>
      </c>
      <c r="AK189" s="154">
        <f t="shared" si="63"/>
        <v>-140557.78794151999</v>
      </c>
      <c r="AL189" s="168">
        <v>2788</v>
      </c>
      <c r="AM189" s="158">
        <f t="shared" si="31"/>
        <v>-1243</v>
      </c>
      <c r="AN189" s="154">
        <f t="shared" si="32"/>
        <v>8711</v>
      </c>
      <c r="AO189" s="154">
        <f t="shared" si="25"/>
        <v>11044.85</v>
      </c>
      <c r="AP189" s="159">
        <f t="shared" si="46"/>
        <v>3.1785982429436588E-2</v>
      </c>
      <c r="AQ189" s="159">
        <f t="shared" si="47"/>
        <v>0.80604157510219876</v>
      </c>
      <c r="AR189" s="160">
        <f t="shared" si="51"/>
        <v>3.2241289651586062E-2</v>
      </c>
      <c r="AS189" s="160">
        <f t="shared" si="52"/>
        <v>0.80343213728549145</v>
      </c>
      <c r="AT189" s="159">
        <v>8.3999066677036924E-2</v>
      </c>
      <c r="AU189" s="159">
        <v>0.87769024788613448</v>
      </c>
      <c r="AV189" s="160">
        <v>7.8947368421052627E-2</v>
      </c>
      <c r="AW189" s="160">
        <v>0.89068825910931204</v>
      </c>
      <c r="AX189" s="159">
        <v>6.2363690905700458E-2</v>
      </c>
      <c r="AY189" s="159">
        <v>0.88260999991892419</v>
      </c>
      <c r="AZ189" s="160">
        <v>5.3516819571865444E-2</v>
      </c>
      <c r="BA189" s="160">
        <v>0.89296636085626913</v>
      </c>
      <c r="BB189" s="159">
        <v>3.9767563225265479E-2</v>
      </c>
      <c r="BC189" s="159">
        <f t="shared" si="33"/>
        <v>0.76417987463425208</v>
      </c>
      <c r="BD189" s="160">
        <v>5.1587301587301584E-2</v>
      </c>
      <c r="BE189" s="160">
        <f>SUM(BD$168:BD189)</f>
        <v>0.76190476190476186</v>
      </c>
      <c r="BF189" s="161">
        <f>Vergleich!C23</f>
        <v>54612</v>
      </c>
      <c r="BG189" s="159">
        <v>8.077632528671097E-2</v>
      </c>
      <c r="BH189" s="159">
        <f t="shared" si="34"/>
        <v>0.87596439169139462</v>
      </c>
      <c r="BI189" s="160">
        <v>9.5100864553314124E-2</v>
      </c>
      <c r="BJ189" s="160">
        <f>SUM(BI$168:BI189)</f>
        <v>0.86455331412103742</v>
      </c>
      <c r="BK189" s="161"/>
      <c r="BL189" s="159"/>
      <c r="BM189" s="289"/>
      <c r="BN189" s="289"/>
      <c r="BO189" s="289"/>
      <c r="BP189" s="289"/>
      <c r="BQ189" s="289"/>
      <c r="BR189" s="289"/>
      <c r="BS189" s="289"/>
      <c r="BT189" s="289"/>
      <c r="BU189" s="289"/>
      <c r="BV189" s="289"/>
      <c r="BW189" s="289"/>
      <c r="BX189" s="289"/>
      <c r="BY189" s="289"/>
      <c r="BZ189" s="289"/>
      <c r="CA189" s="289"/>
      <c r="CB189" s="289"/>
      <c r="CC189" s="289"/>
      <c r="CD189" s="289"/>
      <c r="CE189" s="289"/>
    </row>
    <row r="190" spans="1:83" s="187" customFormat="1" x14ac:dyDescent="0.3">
      <c r="A190" s="280"/>
      <c r="B190" s="281"/>
      <c r="C190" s="281"/>
      <c r="D190" s="281"/>
      <c r="E190" s="288">
        <v>21</v>
      </c>
      <c r="F190" s="402">
        <f t="shared" si="35"/>
        <v>44335.833333333336</v>
      </c>
      <c r="G190" s="326">
        <f t="shared" si="26"/>
        <v>274051.62068965519</v>
      </c>
      <c r="H190" s="327">
        <f>AF197</f>
        <v>305348.46931487281</v>
      </c>
      <c r="I190" s="323">
        <f t="shared" si="28"/>
        <v>421347.98898363434</v>
      </c>
      <c r="J190" s="328">
        <v>170541</v>
      </c>
      <c r="K190" s="328">
        <v>266116</v>
      </c>
      <c r="L190" s="329">
        <f t="shared" si="21"/>
        <v>1</v>
      </c>
      <c r="M190" s="315">
        <f t="shared" si="29"/>
        <v>0.19395842489780124</v>
      </c>
      <c r="N190" s="316"/>
      <c r="O190" s="309"/>
      <c r="P190" s="230"/>
      <c r="Q190" s="173"/>
      <c r="R190" s="174">
        <v>21</v>
      </c>
      <c r="S190" s="175">
        <f t="shared" si="36"/>
        <v>4</v>
      </c>
      <c r="T190" s="176">
        <f t="shared" si="37"/>
        <v>44335</v>
      </c>
      <c r="U190" s="177">
        <v>0.83333333333333337</v>
      </c>
      <c r="V190" s="178">
        <f t="shared" si="20"/>
        <v>44335.833333333336</v>
      </c>
      <c r="W190" s="179">
        <f t="shared" si="22"/>
        <v>21.166666666671517</v>
      </c>
      <c r="X190" s="179">
        <f t="shared" si="38"/>
        <v>1.1666666666715173</v>
      </c>
      <c r="Y190" s="188">
        <f t="shared" ref="Y190" si="64">Y189+AA190*AE189</f>
        <v>274051.62068965519</v>
      </c>
      <c r="Z190" s="91">
        <f t="shared" ref="Z190" si="65">Z189+AA190</f>
        <v>1923</v>
      </c>
      <c r="AA190" s="261">
        <f>ROUND((AH190-AH189)*1,)</f>
        <v>378</v>
      </c>
      <c r="AB190" s="182">
        <f t="shared" si="39"/>
        <v>53154.620689655188</v>
      </c>
      <c r="AC190" s="180">
        <f t="shared" si="23"/>
        <v>142.51254326035112</v>
      </c>
      <c r="AD190" s="181">
        <f t="shared" si="40"/>
        <v>140.62068965517247</v>
      </c>
      <c r="AE190" s="411">
        <f t="shared" ref="AE190" si="66">$F$3</f>
        <v>142.91806451612902</v>
      </c>
      <c r="AF190" s="182">
        <v>305348.46931487281</v>
      </c>
      <c r="AG190" s="157">
        <f t="shared" si="61"/>
        <v>-31296.848625217623</v>
      </c>
      <c r="AH190" s="183">
        <v>1965</v>
      </c>
      <c r="AI190" s="170">
        <f t="shared" si="62"/>
        <v>-42</v>
      </c>
      <c r="AJ190" s="182">
        <v>421347.98898363434</v>
      </c>
      <c r="AK190" s="157">
        <f t="shared" si="63"/>
        <v>-147296.36829397915</v>
      </c>
      <c r="AL190" s="183">
        <v>3255</v>
      </c>
      <c r="AM190" s="170">
        <f>Z195-AL197</f>
        <v>-687</v>
      </c>
      <c r="AN190" s="182">
        <f t="shared" si="32"/>
        <v>45561.103448086447</v>
      </c>
      <c r="AO190" s="182">
        <f t="shared" si="25"/>
        <v>12947.320662500428</v>
      </c>
      <c r="AP190" s="184">
        <f t="shared" si="46"/>
        <v>0.19395842489780121</v>
      </c>
      <c r="AQ190" s="184">
        <f t="shared" si="47"/>
        <v>1</v>
      </c>
      <c r="AR190" s="185">
        <f t="shared" si="51"/>
        <v>0.19656786271450857</v>
      </c>
      <c r="AS190" s="185">
        <f t="shared" si="52"/>
        <v>1</v>
      </c>
      <c r="AT190" s="184">
        <v>0.1223097521138654</v>
      </c>
      <c r="AU190" s="184">
        <v>0.99999999999999989</v>
      </c>
      <c r="AV190" s="185">
        <v>0.11336032388663968</v>
      </c>
      <c r="AW190" s="185">
        <v>1.0040485829959518</v>
      </c>
      <c r="AX190" s="184">
        <v>0.11739000008107604</v>
      </c>
      <c r="AY190" s="184">
        <v>1.0000000000000002</v>
      </c>
      <c r="AZ190" s="185">
        <v>0.10703363914373089</v>
      </c>
      <c r="BA190" s="185">
        <v>1</v>
      </c>
      <c r="BB190" s="184">
        <v>0.23582012536574781</v>
      </c>
      <c r="BC190" s="184">
        <f t="shared" si="33"/>
        <v>0.99999999999999989</v>
      </c>
      <c r="BD190" s="185">
        <v>0.23809523809523808</v>
      </c>
      <c r="BE190" s="185">
        <f>SUM(BD$168:BD190)</f>
        <v>1</v>
      </c>
      <c r="BF190" s="186">
        <f>Vergleich!C24</f>
        <v>62345</v>
      </c>
      <c r="BG190" s="184">
        <v>0.12403560830860538</v>
      </c>
      <c r="BH190" s="184">
        <f t="shared" si="34"/>
        <v>1</v>
      </c>
      <c r="BI190" s="185">
        <v>0.13544668587896258</v>
      </c>
      <c r="BJ190" s="185">
        <f>SUM(BI$168:BI190)</f>
        <v>1</v>
      </c>
      <c r="BK190" s="186">
        <f>DG191</f>
        <v>0</v>
      </c>
      <c r="BL190" s="184"/>
      <c r="BM190" s="281"/>
      <c r="BN190" s="281"/>
      <c r="BO190" s="281"/>
      <c r="BP190" s="281"/>
      <c r="BQ190" s="281"/>
      <c r="BR190" s="281"/>
      <c r="BS190" s="281"/>
      <c r="BT190" s="281"/>
      <c r="BU190" s="281"/>
      <c r="BV190" s="281"/>
      <c r="BW190" s="281"/>
      <c r="BX190" s="281"/>
      <c r="BY190" s="281"/>
      <c r="BZ190" s="281"/>
      <c r="CA190" s="281"/>
      <c r="CB190" s="281"/>
      <c r="CC190" s="281"/>
      <c r="CD190" s="281"/>
      <c r="CE190" s="281"/>
    </row>
    <row r="191" spans="1:83" s="187" customFormat="1" x14ac:dyDescent="0.3">
      <c r="A191" s="281"/>
      <c r="B191" s="330"/>
      <c r="C191" s="281"/>
      <c r="D191" s="281"/>
      <c r="E191" s="317"/>
      <c r="F191" s="317"/>
      <c r="G191" s="317"/>
      <c r="H191" s="317"/>
      <c r="I191" s="317"/>
      <c r="J191" s="317"/>
      <c r="K191" s="317"/>
      <c r="L191" s="317"/>
      <c r="M191" s="281"/>
      <c r="N191" s="316"/>
      <c r="O191" s="309"/>
      <c r="P191" s="231"/>
      <c r="Q191" s="189"/>
      <c r="R191" s="189"/>
      <c r="S191" s="189"/>
      <c r="T191" s="189"/>
      <c r="U191" s="189"/>
      <c r="V191" s="189"/>
      <c r="W191" s="173"/>
      <c r="X191" s="189"/>
      <c r="Y191" s="189"/>
      <c r="Z191" s="190"/>
      <c r="AA191" s="260">
        <f>SUM(AA168:AA190)</f>
        <v>1923</v>
      </c>
      <c r="AB191" s="191">
        <f>SUM(AB168:AB190)</f>
        <v>274051.62068965519</v>
      </c>
      <c r="AC191" s="190"/>
      <c r="AD191" s="192">
        <f t="shared" si="40"/>
        <v>142.51254326035112</v>
      </c>
      <c r="AE191" s="192"/>
      <c r="AF191" s="190" t="s">
        <v>135</v>
      </c>
      <c r="AG191" s="118"/>
      <c r="AH191" s="193" t="s">
        <v>135</v>
      </c>
      <c r="AI191" s="170"/>
      <c r="AJ191" s="190" t="s">
        <v>136</v>
      </c>
      <c r="AK191" s="72"/>
      <c r="AL191" s="193" t="s">
        <v>136</v>
      </c>
      <c r="AM191" s="170"/>
      <c r="AN191" s="190"/>
      <c r="AO191" s="189"/>
      <c r="AP191" s="194">
        <f t="shared" si="46"/>
        <v>1</v>
      </c>
      <c r="AQ191" s="194"/>
      <c r="AR191" s="195">
        <f t="shared" si="51"/>
        <v>1</v>
      </c>
      <c r="AS191" s="196"/>
      <c r="AT191" s="194">
        <f>SUM(AT168:AT190)</f>
        <v>1.0000000000000002</v>
      </c>
      <c r="AU191" s="194"/>
      <c r="AV191" s="195">
        <f>SUM(AV168:AV190)</f>
        <v>1.0040485829959518</v>
      </c>
      <c r="AW191" s="196"/>
      <c r="AX191" s="194">
        <v>1.0000000000000002</v>
      </c>
      <c r="AY191" s="194"/>
      <c r="AZ191" s="195">
        <v>1</v>
      </c>
      <c r="BA191" s="196"/>
      <c r="BB191" s="194">
        <f t="shared" ref="BB191:BD191" si="67">SUM(BB168:BB190)</f>
        <v>0.99999999999999989</v>
      </c>
      <c r="BC191" s="194"/>
      <c r="BD191" s="195">
        <f t="shared" si="67"/>
        <v>1</v>
      </c>
      <c r="BE191" s="196"/>
      <c r="BF191" s="197"/>
      <c r="BG191" s="194">
        <f t="shared" ref="BG191:BI191" si="68">SUM(BG168:BG190)</f>
        <v>1</v>
      </c>
      <c r="BH191" s="194"/>
      <c r="BI191" s="195">
        <f t="shared" si="68"/>
        <v>1</v>
      </c>
      <c r="BJ191" s="196"/>
      <c r="BK191" s="197">
        <v>285417</v>
      </c>
      <c r="BL191" s="194">
        <f>BK191/$BK$191</f>
        <v>1</v>
      </c>
      <c r="BM191" s="281"/>
      <c r="BN191" s="281"/>
      <c r="BO191" s="281"/>
      <c r="BP191" s="281"/>
      <c r="BQ191" s="281"/>
      <c r="BR191" s="281"/>
      <c r="BS191" s="281"/>
      <c r="BT191" s="281"/>
      <c r="BU191" s="281"/>
      <c r="BV191" s="281"/>
      <c r="BW191" s="281"/>
      <c r="BX191" s="281"/>
      <c r="BY191" s="281"/>
      <c r="BZ191" s="281"/>
      <c r="CA191" s="281"/>
      <c r="CB191" s="281"/>
      <c r="CC191" s="281"/>
      <c r="CD191" s="281"/>
      <c r="CE191" s="281"/>
    </row>
    <row r="192" spans="1:83" s="2" customFormat="1" x14ac:dyDescent="0.3">
      <c r="A192" s="262"/>
      <c r="B192" s="262"/>
      <c r="C192" s="262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308"/>
      <c r="O192" s="309"/>
      <c r="P192" s="225"/>
      <c r="Q192" s="47"/>
      <c r="R192" s="47"/>
      <c r="S192" s="47"/>
      <c r="T192" s="47"/>
      <c r="U192" s="47"/>
      <c r="V192" s="47"/>
      <c r="W192" s="47"/>
      <c r="X192" s="191"/>
      <c r="Y192" s="217" t="s">
        <v>133</v>
      </c>
      <c r="Z192" s="47"/>
      <c r="AA192" s="47"/>
      <c r="AB192" s="47"/>
      <c r="AC192" s="47"/>
      <c r="AD192" s="47"/>
      <c r="AE192" s="47"/>
      <c r="AF192" s="182">
        <f>AF170*Vergleich!AU8</f>
        <v>305348.46931487281</v>
      </c>
      <c r="AG192" s="218"/>
      <c r="AH192" s="81">
        <f>ROUND(Z170*Vergleich!AV8,)</f>
        <v>1965</v>
      </c>
      <c r="AI192" s="198"/>
      <c r="AJ192" s="182">
        <f>AJ170*Vergleich!AU9</f>
        <v>411800.92468896596</v>
      </c>
      <c r="AK192" s="157"/>
      <c r="AL192" s="81">
        <f>ROUND(Z170*Vergleich!AV9,)</f>
        <v>2971</v>
      </c>
      <c r="AM192" s="198"/>
      <c r="AN192" s="47"/>
      <c r="AO192" s="47"/>
      <c r="AP192" s="47"/>
      <c r="AQ192" s="47"/>
      <c r="AR192" s="47"/>
      <c r="AS192" s="47"/>
      <c r="AT192" s="429" t="s">
        <v>129</v>
      </c>
      <c r="AU192" s="430"/>
      <c r="AV192" s="430"/>
      <c r="AW192" s="431"/>
      <c r="AX192" s="429" t="s">
        <v>56</v>
      </c>
      <c r="AY192" s="430"/>
      <c r="AZ192" s="430"/>
      <c r="BA192" s="431"/>
      <c r="BB192" s="429" t="s">
        <v>58</v>
      </c>
      <c r="BC192" s="430"/>
      <c r="BD192" s="430"/>
      <c r="BE192" s="430"/>
      <c r="BF192" s="428" t="s">
        <v>57</v>
      </c>
      <c r="BG192" s="428"/>
      <c r="BH192" s="428"/>
      <c r="BI192" s="428"/>
      <c r="BJ192" s="428"/>
      <c r="BK192" s="428" t="s">
        <v>59</v>
      </c>
      <c r="BL192" s="428"/>
      <c r="BM192" s="262"/>
      <c r="BN192" s="262"/>
      <c r="BO192" s="262"/>
      <c r="BP192" s="262"/>
      <c r="BQ192" s="262"/>
      <c r="BR192" s="262"/>
      <c r="BS192" s="262"/>
      <c r="BT192" s="262"/>
      <c r="BU192" s="262"/>
      <c r="BV192" s="262"/>
      <c r="BW192" s="262"/>
      <c r="BX192" s="262"/>
      <c r="BY192" s="262"/>
      <c r="BZ192" s="262"/>
      <c r="CA192" s="262"/>
      <c r="CB192" s="262"/>
      <c r="CC192" s="262"/>
      <c r="CD192" s="262"/>
      <c r="CE192" s="262"/>
    </row>
    <row r="193" spans="1:83" s="2" customFormat="1" ht="18" x14ac:dyDescent="0.25">
      <c r="A193" s="262"/>
      <c r="B193" s="262"/>
      <c r="C193" s="262"/>
      <c r="D193" s="262"/>
      <c r="E193" s="262"/>
      <c r="F193" s="262"/>
      <c r="G193" s="262"/>
      <c r="H193" s="262"/>
      <c r="I193" s="262"/>
      <c r="J193" s="262"/>
      <c r="K193" s="262"/>
      <c r="L193" s="306"/>
      <c r="M193" s="262"/>
      <c r="N193" s="308"/>
      <c r="O193" s="262"/>
      <c r="P193" s="225"/>
      <c r="Q193" s="47"/>
      <c r="R193" s="47"/>
      <c r="S193" s="47"/>
      <c r="T193" s="47"/>
      <c r="U193" s="47"/>
      <c r="V193" s="47"/>
      <c r="W193" s="47"/>
      <c r="X193" s="47"/>
      <c r="Y193" s="47" t="s">
        <v>134</v>
      </c>
      <c r="Z193" s="47"/>
      <c r="AA193" s="47"/>
      <c r="AB193" s="47"/>
      <c r="AC193" s="47"/>
      <c r="AD193" s="47"/>
      <c r="AE193" s="47"/>
      <c r="AF193" s="182">
        <f>AF171*Vergleich!AU13</f>
        <v>331028.00356314023</v>
      </c>
      <c r="AG193" s="218"/>
      <c r="AH193" s="81">
        <f>ROUND(Z171*Vergleich!AV13,)</f>
        <v>2221</v>
      </c>
      <c r="AI193" s="198"/>
      <c r="AJ193" s="182">
        <f>AJ171*Vergleich!AU14</f>
        <v>423975.00805297063</v>
      </c>
      <c r="AK193" s="157"/>
      <c r="AL193" s="81">
        <f>ROUND(Z171*Vergleich!AV14,)</f>
        <v>3339</v>
      </c>
      <c r="AM193" s="198"/>
      <c r="AN193" s="47"/>
      <c r="AO193" s="47"/>
      <c r="AP193" s="47"/>
      <c r="AQ193" s="47"/>
      <c r="AR193" s="47"/>
      <c r="AS193" s="47"/>
      <c r="AT193" s="78" t="s">
        <v>144</v>
      </c>
      <c r="AU193" s="199" t="s">
        <v>148</v>
      </c>
      <c r="AV193" s="78" t="s">
        <v>145</v>
      </c>
      <c r="AW193" s="78" t="s">
        <v>149</v>
      </c>
      <c r="AX193" s="78" t="s">
        <v>88</v>
      </c>
      <c r="AY193" s="78" t="s">
        <v>150</v>
      </c>
      <c r="AZ193" s="78" t="s">
        <v>141</v>
      </c>
      <c r="BA193" s="78" t="s">
        <v>151</v>
      </c>
      <c r="BB193" s="78" t="s">
        <v>142</v>
      </c>
      <c r="BC193" s="200" t="s">
        <v>152</v>
      </c>
      <c r="BD193" s="78" t="s">
        <v>143</v>
      </c>
      <c r="BE193" s="200" t="s">
        <v>153</v>
      </c>
      <c r="BF193" s="47"/>
      <c r="BG193" s="78" t="s">
        <v>146</v>
      </c>
      <c r="BH193" s="201" t="s">
        <v>154</v>
      </c>
      <c r="BI193" s="78" t="s">
        <v>147</v>
      </c>
      <c r="BJ193" s="201" t="s">
        <v>155</v>
      </c>
      <c r="BK193" s="49"/>
      <c r="BL193" s="47"/>
      <c r="BM193" s="262"/>
      <c r="BN193" s="262"/>
      <c r="BO193" s="262"/>
      <c r="BP193" s="262"/>
      <c r="BQ193" s="262"/>
      <c r="BR193" s="262"/>
      <c r="BS193" s="262"/>
      <c r="BT193" s="262"/>
      <c r="BU193" s="262"/>
      <c r="BV193" s="262"/>
      <c r="BW193" s="262"/>
      <c r="BX193" s="262"/>
      <c r="BY193" s="262"/>
      <c r="BZ193" s="262"/>
      <c r="CA193" s="262"/>
      <c r="CB193" s="262"/>
      <c r="CC193" s="262"/>
      <c r="CD193" s="262"/>
      <c r="CE193" s="262"/>
    </row>
    <row r="194" spans="1:83" s="2" customFormat="1" x14ac:dyDescent="0.3">
      <c r="A194" s="262"/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306"/>
      <c r="M194" s="262"/>
      <c r="N194" s="308"/>
      <c r="O194" s="262"/>
      <c r="P194" s="225"/>
      <c r="Q194" s="47"/>
      <c r="R194" s="47"/>
      <c r="S194" s="47"/>
      <c r="T194" s="47"/>
      <c r="U194" s="47"/>
      <c r="V194" s="47"/>
      <c r="W194" s="47"/>
      <c r="X194" s="47"/>
      <c r="Y194" s="47" t="s">
        <v>156</v>
      </c>
      <c r="Z194" s="47"/>
      <c r="AA194" s="47"/>
      <c r="AB194" s="47"/>
      <c r="AC194" s="48"/>
      <c r="AD194" s="47"/>
      <c r="AE194" s="47"/>
      <c r="AF194" s="182">
        <f>AF172*Vergleich!AU18</f>
        <v>335214.88507498952</v>
      </c>
      <c r="AG194" s="218"/>
      <c r="AH194" s="81">
        <f>ROUND(Z172*Vergleich!AV18,)</f>
        <v>2254</v>
      </c>
      <c r="AI194" s="198"/>
      <c r="AJ194" s="182">
        <f>AJ172*Vergleich!AU19</f>
        <v>432185.52987439174</v>
      </c>
      <c r="AK194" s="157"/>
      <c r="AL194" s="81">
        <f>ROUND(Z172*Vergleich!AV19,)</f>
        <v>3285</v>
      </c>
      <c r="AM194" s="67"/>
      <c r="AN194" s="47"/>
      <c r="AO194" s="202">
        <v>4</v>
      </c>
      <c r="AP194" s="202"/>
      <c r="AQ194" s="202"/>
      <c r="AR194" s="202"/>
      <c r="AS194" s="202"/>
      <c r="AT194" s="203"/>
      <c r="AU194" s="204"/>
      <c r="AV194" s="203"/>
      <c r="AW194" s="203"/>
      <c r="AX194" s="203"/>
      <c r="AY194" s="203"/>
      <c r="AZ194" s="203"/>
      <c r="BA194" s="203"/>
      <c r="BB194" s="203"/>
      <c r="BC194" s="205"/>
      <c r="BD194" s="203"/>
      <c r="BE194" s="205"/>
      <c r="BF194" s="202"/>
      <c r="BG194" s="203"/>
      <c r="BH194" s="206"/>
      <c r="BI194" s="203"/>
      <c r="BJ194" s="206"/>
      <c r="BK194" s="206"/>
      <c r="BL194" s="206"/>
      <c r="BM194" s="262"/>
      <c r="BN194" s="262"/>
      <c r="BO194" s="262"/>
      <c r="BP194" s="262"/>
      <c r="BQ194" s="262"/>
      <c r="BR194" s="262"/>
      <c r="BS194" s="262"/>
      <c r="BT194" s="262"/>
      <c r="BU194" s="262"/>
      <c r="BV194" s="262"/>
      <c r="BW194" s="262"/>
      <c r="BX194" s="262"/>
      <c r="BY194" s="262"/>
      <c r="BZ194" s="262"/>
      <c r="CA194" s="262"/>
      <c r="CB194" s="262"/>
      <c r="CC194" s="262"/>
      <c r="CD194" s="262"/>
      <c r="CE194" s="262"/>
    </row>
    <row r="195" spans="1:83" s="2" customFormat="1" x14ac:dyDescent="0.3">
      <c r="A195" s="262"/>
      <c r="B195" s="262"/>
      <c r="C195" s="262"/>
      <c r="D195" s="262"/>
      <c r="E195" s="262"/>
      <c r="F195" s="262"/>
      <c r="G195" s="262"/>
      <c r="H195" s="262"/>
      <c r="I195" s="262"/>
      <c r="J195" s="262"/>
      <c r="K195" s="262"/>
      <c r="L195" s="306"/>
      <c r="M195" s="262"/>
      <c r="N195" s="308"/>
      <c r="O195" s="262"/>
      <c r="P195" s="225"/>
      <c r="Q195" s="47"/>
      <c r="R195" s="47"/>
      <c r="S195" s="47"/>
      <c r="T195" s="47"/>
      <c r="U195" s="47"/>
      <c r="V195" s="47"/>
      <c r="W195" s="47"/>
      <c r="X195" s="47"/>
      <c r="Y195" s="47" t="s">
        <v>157</v>
      </c>
      <c r="Z195" s="207">
        <f>ROUND(AVERAGE(AH197,AL197),)</f>
        <v>2652</v>
      </c>
      <c r="AA195" s="47"/>
      <c r="AB195" s="47"/>
      <c r="AC195" s="48"/>
      <c r="AD195" s="47"/>
      <c r="AE195" s="47"/>
      <c r="AF195" s="182">
        <f>AF173*Vergleich!AU23</f>
        <v>329588.01159371936</v>
      </c>
      <c r="AG195" s="218"/>
      <c r="AH195" s="81">
        <f>ROUND(Z173*Vergleich!AV23,)</f>
        <v>2214</v>
      </c>
      <c r="AI195" s="198"/>
      <c r="AJ195" s="182">
        <f>AJ173*Vergleich!AU24</f>
        <v>421347.98898363434</v>
      </c>
      <c r="AK195" s="157"/>
      <c r="AL195" s="81">
        <f>ROUND(Z173*Vergleich!AV24,)</f>
        <v>3254</v>
      </c>
      <c r="AM195" s="67"/>
      <c r="AN195" s="47"/>
      <c r="AO195" s="202">
        <v>5</v>
      </c>
      <c r="AP195" s="202"/>
      <c r="AQ195" s="202"/>
      <c r="AR195" s="202"/>
      <c r="AS195" s="202"/>
      <c r="AT195" s="203"/>
      <c r="AU195" s="204"/>
      <c r="AV195" s="203"/>
      <c r="AW195" s="203"/>
      <c r="AX195" s="203"/>
      <c r="AY195" s="203"/>
      <c r="AZ195" s="203"/>
      <c r="BA195" s="203"/>
      <c r="BB195" s="203"/>
      <c r="BC195" s="205"/>
      <c r="BD195" s="203"/>
      <c r="BE195" s="205"/>
      <c r="BF195" s="202"/>
      <c r="BG195" s="203"/>
      <c r="BH195" s="206"/>
      <c r="BI195" s="203"/>
      <c r="BJ195" s="206"/>
      <c r="BK195" s="206"/>
      <c r="BL195" s="206"/>
      <c r="BM195" s="262"/>
      <c r="BN195" s="262"/>
      <c r="BO195" s="262"/>
      <c r="BP195" s="262"/>
      <c r="BQ195" s="262"/>
      <c r="BR195" s="262"/>
      <c r="BS195" s="262"/>
      <c r="BT195" s="262"/>
      <c r="BU195" s="262"/>
      <c r="BV195" s="262"/>
      <c r="BW195" s="262"/>
      <c r="BX195" s="262"/>
      <c r="BY195" s="262"/>
      <c r="BZ195" s="262"/>
      <c r="CA195" s="262"/>
      <c r="CB195" s="262"/>
      <c r="CC195" s="262"/>
      <c r="CD195" s="262"/>
      <c r="CE195" s="262"/>
    </row>
    <row r="196" spans="1:83" s="2" customFormat="1" ht="18" x14ac:dyDescent="0.25">
      <c r="A196" s="262"/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306"/>
      <c r="M196" s="262"/>
      <c r="N196" s="308"/>
      <c r="O196" s="262"/>
      <c r="P196" s="225"/>
      <c r="Q196" s="47"/>
      <c r="R196" s="47"/>
      <c r="S196" s="47"/>
      <c r="T196" s="47"/>
      <c r="U196" s="47"/>
      <c r="V196" s="47"/>
      <c r="W196" s="47"/>
      <c r="X196" s="47"/>
      <c r="Y196" s="47"/>
      <c r="Z196" s="42"/>
      <c r="AA196" s="42"/>
      <c r="AB196" s="42"/>
      <c r="AC196" s="42"/>
      <c r="AD196" s="47"/>
      <c r="AE196" s="47"/>
      <c r="AF196" s="182">
        <f>AF174*Vergleich!AU28</f>
        <v>320324.80018911412</v>
      </c>
      <c r="AG196" s="218"/>
      <c r="AH196" s="81">
        <f>ROUND(Z174*Vergleich!AV28,)</f>
        <v>2151</v>
      </c>
      <c r="AI196" s="198"/>
      <c r="AJ196" s="182">
        <f>AJ174*Vergleich!AU29</f>
        <v>373950.35776295344</v>
      </c>
      <c r="AK196" s="157"/>
      <c r="AL196" s="81">
        <f>ROUND(Z174*Vergleich!AV29,)</f>
        <v>2870</v>
      </c>
      <c r="AM196" s="67"/>
      <c r="AN196" s="42"/>
      <c r="AO196" s="202">
        <v>6</v>
      </c>
      <c r="AP196" s="202"/>
      <c r="AQ196" s="202"/>
      <c r="AR196" s="202"/>
      <c r="AS196" s="202"/>
      <c r="AT196" s="203"/>
      <c r="AU196" s="204"/>
      <c r="AV196" s="203"/>
      <c r="AW196" s="203"/>
      <c r="AX196" s="203"/>
      <c r="AY196" s="203"/>
      <c r="AZ196" s="203"/>
      <c r="BA196" s="203"/>
      <c r="BB196" s="203"/>
      <c r="BC196" s="205"/>
      <c r="BD196" s="203"/>
      <c r="BE196" s="205"/>
      <c r="BF196" s="202"/>
      <c r="BG196" s="203"/>
      <c r="BH196" s="206"/>
      <c r="BI196" s="203"/>
      <c r="BJ196" s="206"/>
      <c r="BK196" s="206"/>
      <c r="BL196" s="206"/>
      <c r="BM196" s="262"/>
      <c r="BN196" s="262"/>
      <c r="BO196" s="262"/>
      <c r="BP196" s="262"/>
      <c r="BQ196" s="262"/>
      <c r="BR196" s="262"/>
      <c r="BS196" s="262"/>
      <c r="BT196" s="262"/>
      <c r="BU196" s="262"/>
      <c r="BV196" s="262"/>
      <c r="BW196" s="262"/>
      <c r="BX196" s="262"/>
      <c r="BY196" s="262"/>
      <c r="BZ196" s="262"/>
      <c r="CA196" s="262"/>
      <c r="CB196" s="262"/>
      <c r="CC196" s="262"/>
      <c r="CD196" s="262"/>
      <c r="CE196" s="262"/>
    </row>
    <row r="197" spans="1:83" s="2" customFormat="1" ht="18" x14ac:dyDescent="0.25">
      <c r="A197" s="262"/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306"/>
      <c r="M197" s="262"/>
      <c r="N197" s="308"/>
      <c r="O197" s="262"/>
      <c r="P197" s="225"/>
      <c r="Q197" s="47"/>
      <c r="R197" s="47"/>
      <c r="S197" s="47"/>
      <c r="T197" s="47"/>
      <c r="U197" s="47"/>
      <c r="V197" s="47"/>
      <c r="W197" s="47"/>
      <c r="X197" s="47"/>
      <c r="Y197" s="47"/>
      <c r="Z197" s="42"/>
      <c r="AA197" s="42"/>
      <c r="AB197" s="42"/>
      <c r="AC197" s="42"/>
      <c r="AD197" s="47"/>
      <c r="AE197" s="47"/>
      <c r="AF197" s="191">
        <f>MIN(AF192:AF196)</f>
        <v>305348.46931487281</v>
      </c>
      <c r="AG197" s="67"/>
      <c r="AH197" s="208">
        <f>MIN(AH192:AH196)</f>
        <v>1965</v>
      </c>
      <c r="AI197" s="67"/>
      <c r="AJ197" s="191">
        <f>MAX(AJ192:AJ195)</f>
        <v>432185.52987439174</v>
      </c>
      <c r="AK197" s="67"/>
      <c r="AL197" s="208">
        <f>MAX(AL192:AL196)</f>
        <v>3339</v>
      </c>
      <c r="AM197" s="67"/>
      <c r="AN197" s="42"/>
      <c r="AO197" s="47">
        <v>7</v>
      </c>
      <c r="AP197" s="47"/>
      <c r="AQ197" s="47"/>
      <c r="AR197" s="47"/>
      <c r="AS197" s="47"/>
      <c r="AT197" s="92">
        <f>AT176/SUM(AT$176:AT$190)</f>
        <v>5.2208682406702213E-2</v>
      </c>
      <c r="AU197" s="209">
        <f t="shared" ref="AU197:BE211" si="69">AU196+AT197</f>
        <v>5.2208682406702213E-2</v>
      </c>
      <c r="AV197" s="92">
        <f>AV176/SUM(AV$176:AV$190)</f>
        <v>5.7971014492753631E-2</v>
      </c>
      <c r="AW197" s="92">
        <f t="shared" si="69"/>
        <v>5.7971014492753631E-2</v>
      </c>
      <c r="AX197" s="92">
        <f>AX176/SUM(AX$176:AX$190)</f>
        <v>3.0958683392795495E-2</v>
      </c>
      <c r="AY197" s="92">
        <f t="shared" si="69"/>
        <v>3.0958683392795495E-2</v>
      </c>
      <c r="AZ197" s="92">
        <f>AZ176/SUM(AZ$176:AZ$190)</f>
        <v>3.8888888888888883E-2</v>
      </c>
      <c r="BA197" s="92">
        <f t="shared" si="69"/>
        <v>3.8888888888888883E-2</v>
      </c>
      <c r="BB197" s="92">
        <f>BB176/SUM(BB$176:BB$190)</f>
        <v>4.2460125435275588E-2</v>
      </c>
      <c r="BC197" s="210">
        <f t="shared" si="69"/>
        <v>4.2460125435275588E-2</v>
      </c>
      <c r="BD197" s="92">
        <f>BD176/SUM(BD$176:BD$190)</f>
        <v>4.3568464730290461E-2</v>
      </c>
      <c r="BE197" s="210">
        <f t="shared" si="69"/>
        <v>4.3568464730290461E-2</v>
      </c>
      <c r="BF197" s="47"/>
      <c r="BG197" s="92">
        <f>BG176/SUM(BG$176:BG$190)</f>
        <v>4.0453562628852975E-2</v>
      </c>
      <c r="BH197" s="211">
        <f t="shared" ref="BH197:BH211" si="70">BH196+BG197</f>
        <v>4.0453562628852975E-2</v>
      </c>
      <c r="BI197" s="92">
        <f>BI176/SUM(BI$176:BI$190)</f>
        <v>3.8793103448275877E-2</v>
      </c>
      <c r="BJ197" s="211">
        <f t="shared" ref="BJ197:BJ211" si="71">BJ196+BI197</f>
        <v>3.8793103448275877E-2</v>
      </c>
      <c r="BK197" s="49"/>
      <c r="BL197" s="92">
        <f t="shared" ref="BL197:BL211" si="72">BL175/SUM($AT$172:$AT$190)</f>
        <v>0</v>
      </c>
      <c r="BM197" s="262"/>
      <c r="BN197" s="262"/>
      <c r="BO197" s="262"/>
      <c r="BP197" s="262"/>
      <c r="BQ197" s="262"/>
      <c r="BR197" s="262"/>
      <c r="BS197" s="262"/>
      <c r="BT197" s="262"/>
      <c r="BU197" s="262"/>
      <c r="BV197" s="262"/>
      <c r="BW197" s="262"/>
      <c r="BX197" s="262"/>
      <c r="BY197" s="262"/>
      <c r="BZ197" s="262"/>
      <c r="CA197" s="262"/>
      <c r="CB197" s="262"/>
      <c r="CC197" s="262"/>
      <c r="CD197" s="262"/>
      <c r="CE197" s="262"/>
    </row>
    <row r="198" spans="1:83" s="2" customFormat="1" ht="18" x14ac:dyDescent="0.25">
      <c r="A198" s="262"/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306"/>
      <c r="M198" s="262"/>
      <c r="N198" s="308"/>
      <c r="O198" s="262"/>
      <c r="P198" s="225"/>
      <c r="Q198" s="47"/>
      <c r="R198" s="47"/>
      <c r="S198" s="47"/>
      <c r="T198" s="47"/>
      <c r="U198" s="47"/>
      <c r="V198" s="47"/>
      <c r="W198" s="47"/>
      <c r="X198" s="47"/>
      <c r="Y198" s="47"/>
      <c r="Z198" s="42"/>
      <c r="AA198" s="42"/>
      <c r="AB198" s="42"/>
      <c r="AC198" s="42"/>
      <c r="AD198" s="47"/>
      <c r="AE198" s="47"/>
      <c r="AF198" s="47"/>
      <c r="AG198" s="67"/>
      <c r="AH198" s="47"/>
      <c r="AI198" s="67"/>
      <c r="AJ198" s="46"/>
      <c r="AK198" s="65"/>
      <c r="AL198" s="47"/>
      <c r="AM198" s="67"/>
      <c r="AN198" s="42"/>
      <c r="AO198" s="47">
        <v>8</v>
      </c>
      <c r="AP198" s="47"/>
      <c r="AQ198" s="47"/>
      <c r="AR198" s="47"/>
      <c r="AS198" s="47"/>
      <c r="AT198" s="92">
        <f t="shared" ref="AT198:AT211" si="73">AT177/SUM(AT$176:AT$190)</f>
        <v>6.7460015232292461E-2</v>
      </c>
      <c r="AU198" s="209">
        <f t="shared" si="69"/>
        <v>0.11966869763899468</v>
      </c>
      <c r="AV198" s="92">
        <f t="shared" ref="AV198:AV211" si="74">AV177/SUM(AV$176:AV$190)</f>
        <v>6.1594202898550728E-2</v>
      </c>
      <c r="AW198" s="92">
        <f t="shared" si="69"/>
        <v>0.11956521739130435</v>
      </c>
      <c r="AX198" s="92">
        <f t="shared" ref="AX198:AX211" si="75">AX177/SUM(AX$176:AX$190)</f>
        <v>4.0482218897456561E-2</v>
      </c>
      <c r="AY198" s="92">
        <f t="shared" si="69"/>
        <v>7.1440902290252059E-2</v>
      </c>
      <c r="AZ198" s="92">
        <f t="shared" ref="AZ198:AZ211" si="76">AZ177/SUM(AZ$176:AZ$190)</f>
        <v>4.7222222222222221E-2</v>
      </c>
      <c r="BA198" s="92">
        <f t="shared" si="69"/>
        <v>8.611111111111111E-2</v>
      </c>
      <c r="BB198" s="92">
        <f t="shared" ref="BB198:BB211" si="77">BB177/SUM(BB$176:BB$190)</f>
        <v>2.9983015949825893E-2</v>
      </c>
      <c r="BC198" s="210">
        <f t="shared" si="69"/>
        <v>7.2443141385101481E-2</v>
      </c>
      <c r="BD198" s="92">
        <f t="shared" ref="BD198:BD211" si="78">BD177/SUM(BD$176:BD$190)</f>
        <v>2.6970954356846478E-2</v>
      </c>
      <c r="BE198" s="210">
        <f t="shared" si="69"/>
        <v>7.0539419087136943E-2</v>
      </c>
      <c r="BF198" s="47"/>
      <c r="BG198" s="92">
        <f t="shared" ref="BG198:BG211" si="79">BG177/SUM(BG$176:BG$190)</f>
        <v>6.2829989440337908E-2</v>
      </c>
      <c r="BH198" s="211">
        <f t="shared" si="70"/>
        <v>0.10328355206919088</v>
      </c>
      <c r="BI198" s="92">
        <f t="shared" ref="BI198:BI211" si="80">BI177/SUM(BI$176:BI$190)</f>
        <v>5.1724137931034468E-2</v>
      </c>
      <c r="BJ198" s="211">
        <f t="shared" si="71"/>
        <v>9.0517241379310345E-2</v>
      </c>
      <c r="BK198" s="49"/>
      <c r="BL198" s="92">
        <f t="shared" si="72"/>
        <v>0</v>
      </c>
      <c r="BM198" s="262"/>
      <c r="BN198" s="262"/>
      <c r="BO198" s="262"/>
      <c r="BP198" s="262"/>
      <c r="BQ198" s="262"/>
      <c r="BR198" s="262"/>
      <c r="BS198" s="262"/>
      <c r="BT198" s="262"/>
      <c r="BU198" s="262"/>
      <c r="BV198" s="262"/>
      <c r="BW198" s="262"/>
      <c r="BX198" s="262"/>
      <c r="BY198" s="262"/>
      <c r="BZ198" s="262"/>
      <c r="CA198" s="262"/>
      <c r="CB198" s="262"/>
      <c r="CC198" s="262"/>
      <c r="CD198" s="262"/>
      <c r="CE198" s="262"/>
    </row>
    <row r="199" spans="1:83" s="2" customFormat="1" ht="18" x14ac:dyDescent="0.25">
      <c r="A199" s="262"/>
      <c r="B199" s="262"/>
      <c r="C199" s="262"/>
      <c r="D199" s="262"/>
      <c r="E199" s="262"/>
      <c r="F199" s="262"/>
      <c r="G199" s="262"/>
      <c r="H199" s="262"/>
      <c r="I199" s="262"/>
      <c r="J199" s="262"/>
      <c r="K199" s="262"/>
      <c r="L199" s="306"/>
      <c r="M199" s="262"/>
      <c r="N199" s="308"/>
      <c r="O199" s="262"/>
      <c r="P199" s="225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67"/>
      <c r="AH199" s="47"/>
      <c r="AI199" s="67"/>
      <c r="AJ199" s="47"/>
      <c r="AK199" s="67"/>
      <c r="AL199" s="47"/>
      <c r="AM199" s="67"/>
      <c r="AN199" s="47"/>
      <c r="AO199" s="47">
        <v>9</v>
      </c>
      <c r="AP199" s="47"/>
      <c r="AQ199" s="47"/>
      <c r="AR199" s="47"/>
      <c r="AS199" s="47"/>
      <c r="AT199" s="92">
        <f t="shared" si="73"/>
        <v>4.1984006092916984E-2</v>
      </c>
      <c r="AU199" s="209">
        <f t="shared" si="69"/>
        <v>0.16165270373191165</v>
      </c>
      <c r="AV199" s="92">
        <f t="shared" si="74"/>
        <v>5.0724637681159424E-2</v>
      </c>
      <c r="AW199" s="92">
        <f t="shared" si="69"/>
        <v>0.17028985507246377</v>
      </c>
      <c r="AX199" s="92">
        <f t="shared" si="75"/>
        <v>6.4808953849695025E-2</v>
      </c>
      <c r="AY199" s="92">
        <f t="shared" si="69"/>
        <v>0.13624985613994708</v>
      </c>
      <c r="AZ199" s="92">
        <f t="shared" si="76"/>
        <v>6.9444444444444434E-2</v>
      </c>
      <c r="BA199" s="92">
        <f t="shared" si="69"/>
        <v>0.15555555555555556</v>
      </c>
      <c r="BB199" s="92">
        <f t="shared" si="77"/>
        <v>3.618836165589745E-2</v>
      </c>
      <c r="BC199" s="210">
        <f t="shared" si="69"/>
        <v>0.10863150304099893</v>
      </c>
      <c r="BD199" s="92">
        <f t="shared" si="78"/>
        <v>4.3568464730290461E-2</v>
      </c>
      <c r="BE199" s="210">
        <f t="shared" si="69"/>
        <v>0.1141078838174274</v>
      </c>
      <c r="BF199" s="47"/>
      <c r="BG199" s="92">
        <f t="shared" si="79"/>
        <v>2.9893900538039992E-2</v>
      </c>
      <c r="BH199" s="211">
        <f t="shared" si="70"/>
        <v>0.13317745260723088</v>
      </c>
      <c r="BI199" s="92">
        <f t="shared" si="80"/>
        <v>2.5862068965517276E-2</v>
      </c>
      <c r="BJ199" s="211">
        <f t="shared" si="71"/>
        <v>0.11637931034482762</v>
      </c>
      <c r="BK199" s="49"/>
      <c r="BL199" s="92">
        <f t="shared" si="72"/>
        <v>0</v>
      </c>
      <c r="BM199" s="262"/>
      <c r="BN199" s="262"/>
      <c r="BO199" s="262"/>
      <c r="BP199" s="262"/>
      <c r="BQ199" s="262"/>
      <c r="BR199" s="262"/>
      <c r="BS199" s="262"/>
      <c r="BT199" s="262"/>
      <c r="BU199" s="262"/>
      <c r="BV199" s="262"/>
      <c r="BW199" s="262"/>
      <c r="BX199" s="262"/>
      <c r="BY199" s="262"/>
      <c r="BZ199" s="262"/>
      <c r="CA199" s="262"/>
      <c r="CB199" s="262"/>
      <c r="CC199" s="262"/>
      <c r="CD199" s="262"/>
      <c r="CE199" s="262"/>
    </row>
    <row r="200" spans="1:83" s="2" customFormat="1" hidden="1" outlineLevel="1" x14ac:dyDescent="0.3">
      <c r="A200" s="262"/>
      <c r="B200" s="318"/>
      <c r="C200" s="262"/>
      <c r="D200" s="262"/>
      <c r="E200" s="294"/>
      <c r="F200" s="294"/>
      <c r="G200" s="294"/>
      <c r="H200" s="294"/>
      <c r="I200" s="294"/>
      <c r="J200" s="294"/>
      <c r="K200" s="294"/>
      <c r="L200" s="285"/>
      <c r="M200" s="286"/>
      <c r="N200" s="287"/>
      <c r="O200" s="262"/>
      <c r="P200" s="225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8"/>
      <c r="AD200" s="47"/>
      <c r="AE200" s="47"/>
      <c r="AF200" s="47"/>
      <c r="AG200" s="67"/>
      <c r="AH200" s="67"/>
      <c r="AI200" s="67"/>
      <c r="AJ200" s="47"/>
      <c r="AK200" s="67"/>
      <c r="AL200" s="67"/>
      <c r="AM200" s="67"/>
      <c r="AN200" s="47"/>
      <c r="AO200" s="47">
        <v>10</v>
      </c>
      <c r="AP200" s="47"/>
      <c r="AQ200" s="47"/>
      <c r="AR200" s="47"/>
      <c r="AS200" s="47"/>
      <c r="AT200" s="92">
        <f t="shared" si="73"/>
        <v>5.4874333587204879E-2</v>
      </c>
      <c r="AU200" s="209">
        <f t="shared" si="69"/>
        <v>0.21652703731911654</v>
      </c>
      <c r="AV200" s="92">
        <f t="shared" si="74"/>
        <v>5.4347826086956527E-2</v>
      </c>
      <c r="AW200" s="92">
        <f t="shared" si="69"/>
        <v>0.22463768115942029</v>
      </c>
      <c r="AX200" s="92">
        <f t="shared" si="75"/>
        <v>4.8193117735067327E-2</v>
      </c>
      <c r="AY200" s="92">
        <f t="shared" si="69"/>
        <v>0.1844429738750144</v>
      </c>
      <c r="AZ200" s="92">
        <f t="shared" si="76"/>
        <v>5.2777777777777778E-2</v>
      </c>
      <c r="BA200" s="92">
        <f t="shared" si="69"/>
        <v>0.20833333333333334</v>
      </c>
      <c r="BB200" s="92">
        <f t="shared" si="77"/>
        <v>4.4879640962872301E-2</v>
      </c>
      <c r="BC200" s="210">
        <f t="shared" si="69"/>
        <v>0.15351114400387122</v>
      </c>
      <c r="BD200" s="92">
        <f t="shared" si="78"/>
        <v>4.3568464730290461E-2</v>
      </c>
      <c r="BE200" s="210">
        <f t="shared" si="69"/>
        <v>0.15767634854771787</v>
      </c>
      <c r="BF200" s="47"/>
      <c r="BG200" s="92">
        <f t="shared" si="79"/>
        <v>9.3503293608890273E-2</v>
      </c>
      <c r="BH200" s="211">
        <f t="shared" si="70"/>
        <v>0.22668074621612117</v>
      </c>
      <c r="BI200" s="92">
        <f t="shared" si="80"/>
        <v>8.1896551724137859E-2</v>
      </c>
      <c r="BJ200" s="211">
        <f t="shared" si="71"/>
        <v>0.19827586206896547</v>
      </c>
      <c r="BK200" s="49"/>
      <c r="BL200" s="92">
        <f t="shared" si="72"/>
        <v>0</v>
      </c>
      <c r="BM200" s="262"/>
      <c r="BN200" s="262"/>
      <c r="BO200" s="262"/>
      <c r="BP200" s="262"/>
      <c r="BQ200" s="262"/>
      <c r="BR200" s="262"/>
      <c r="BS200" s="262"/>
      <c r="BT200" s="262"/>
      <c r="BU200" s="262"/>
      <c r="BV200" s="262"/>
      <c r="BW200" s="262"/>
      <c r="BX200" s="262"/>
      <c r="BY200" s="262"/>
      <c r="BZ200" s="262"/>
      <c r="CA200" s="262"/>
      <c r="CB200" s="262"/>
      <c r="CC200" s="262"/>
      <c r="CD200" s="262"/>
      <c r="CE200" s="262"/>
    </row>
    <row r="201" spans="1:83" s="2" customFormat="1" ht="19.5" hidden="1" outlineLevel="1" thickBot="1" x14ac:dyDescent="0.35">
      <c r="A201" s="262"/>
      <c r="B201" s="277"/>
      <c r="C201" s="262"/>
      <c r="D201" s="262"/>
      <c r="E201" s="294"/>
      <c r="F201" s="294"/>
      <c r="G201" s="294"/>
      <c r="H201" s="294"/>
      <c r="I201" s="294"/>
      <c r="J201" s="294"/>
      <c r="K201" s="294"/>
      <c r="L201" s="285"/>
      <c r="M201" s="286"/>
      <c r="N201" s="287"/>
      <c r="O201" s="262"/>
      <c r="P201" s="225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8"/>
      <c r="AD201" s="47"/>
      <c r="AE201" s="47"/>
      <c r="AF201" s="47"/>
      <c r="AG201" s="67"/>
      <c r="AH201" s="67"/>
      <c r="AI201" s="67"/>
      <c r="AJ201" s="47"/>
      <c r="AK201" s="67"/>
      <c r="AL201" s="67"/>
      <c r="AM201" s="67"/>
      <c r="AN201" s="47"/>
      <c r="AO201" s="47">
        <v>11</v>
      </c>
      <c r="AP201" s="47"/>
      <c r="AQ201" s="47"/>
      <c r="AR201" s="47"/>
      <c r="AS201" s="47"/>
      <c r="AT201" s="92">
        <f t="shared" si="73"/>
        <v>2.7246763137852247E-2</v>
      </c>
      <c r="AU201" s="209">
        <f t="shared" si="69"/>
        <v>0.24377380045696878</v>
      </c>
      <c r="AV201" s="92">
        <f t="shared" si="74"/>
        <v>3.2608695652173912E-2</v>
      </c>
      <c r="AW201" s="92">
        <f t="shared" si="69"/>
        <v>0.25724637681159418</v>
      </c>
      <c r="AX201" s="92">
        <f t="shared" si="75"/>
        <v>4.3416963977442748E-2</v>
      </c>
      <c r="AY201" s="92">
        <f t="shared" si="69"/>
        <v>0.22785993785245715</v>
      </c>
      <c r="AZ201" s="92">
        <f t="shared" si="76"/>
        <v>4.7222222222222221E-2</v>
      </c>
      <c r="BA201" s="92">
        <f t="shared" si="69"/>
        <v>0.25555555555555554</v>
      </c>
      <c r="BB201" s="92">
        <f t="shared" si="77"/>
        <v>1.6462193883844279E-2</v>
      </c>
      <c r="BC201" s="210">
        <f t="shared" si="69"/>
        <v>0.16997333788771551</v>
      </c>
      <c r="BD201" s="92">
        <f t="shared" si="78"/>
        <v>1.2448132780082988E-2</v>
      </c>
      <c r="BE201" s="210">
        <f t="shared" si="69"/>
        <v>0.17012448132780086</v>
      </c>
      <c r="BF201" s="47"/>
      <c r="BG201" s="92">
        <f t="shared" si="79"/>
        <v>7.8342635892794193E-2</v>
      </c>
      <c r="BH201" s="211">
        <f t="shared" si="70"/>
        <v>0.30502338210891533</v>
      </c>
      <c r="BI201" s="92">
        <f t="shared" si="80"/>
        <v>7.3275862068965553E-2</v>
      </c>
      <c r="BJ201" s="211">
        <f t="shared" si="71"/>
        <v>0.27155172413793105</v>
      </c>
      <c r="BK201" s="49"/>
      <c r="BL201" s="92">
        <f t="shared" si="72"/>
        <v>0</v>
      </c>
      <c r="BM201" s="262"/>
      <c r="BN201" s="262"/>
      <c r="BO201" s="262"/>
      <c r="BP201" s="262"/>
      <c r="BQ201" s="262"/>
      <c r="BR201" s="262"/>
      <c r="BS201" s="262"/>
      <c r="BT201" s="262"/>
      <c r="BU201" s="262"/>
      <c r="BV201" s="262"/>
      <c r="BW201" s="262"/>
      <c r="BX201" s="262"/>
      <c r="BY201" s="262"/>
      <c r="BZ201" s="262"/>
      <c r="CA201" s="262"/>
      <c r="CB201" s="262"/>
      <c r="CC201" s="262"/>
      <c r="CD201" s="262"/>
      <c r="CE201" s="262"/>
    </row>
    <row r="202" spans="1:83" s="2" customFormat="1" ht="19.5" hidden="1" outlineLevel="1" thickBot="1" x14ac:dyDescent="0.35">
      <c r="A202" s="262"/>
      <c r="B202" s="331" t="s">
        <v>13</v>
      </c>
      <c r="C202" s="262"/>
      <c r="D202" s="262"/>
      <c r="E202" s="294"/>
      <c r="F202" s="294"/>
      <c r="G202" s="294"/>
      <c r="H202" s="294"/>
      <c r="I202" s="294"/>
      <c r="J202" s="294"/>
      <c r="K202" s="294"/>
      <c r="L202" s="285"/>
      <c r="M202" s="286"/>
      <c r="N202" s="287"/>
      <c r="O202" s="262"/>
      <c r="P202" s="225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8"/>
      <c r="AD202" s="47"/>
      <c r="AE202" s="47"/>
      <c r="AF202" s="47"/>
      <c r="AG202" s="67"/>
      <c r="AH202" s="67"/>
      <c r="AI202" s="67"/>
      <c r="AJ202" s="47"/>
      <c r="AK202" s="67"/>
      <c r="AL202" s="67"/>
      <c r="AM202" s="67"/>
      <c r="AN202" s="47"/>
      <c r="AO202" s="47">
        <v>12</v>
      </c>
      <c r="AP202" s="47"/>
      <c r="AQ202" s="47"/>
      <c r="AR202" s="47"/>
      <c r="AS202" s="47"/>
      <c r="AT202" s="92">
        <f t="shared" si="73"/>
        <v>7.4904798172124906E-2</v>
      </c>
      <c r="AU202" s="209">
        <f t="shared" si="69"/>
        <v>0.3186785986290937</v>
      </c>
      <c r="AV202" s="92">
        <f t="shared" si="74"/>
        <v>7.2463768115942032E-2</v>
      </c>
      <c r="AW202" s="92">
        <f t="shared" si="69"/>
        <v>0.3297101449275362</v>
      </c>
      <c r="AX202" s="92">
        <f t="shared" si="75"/>
        <v>2.3276556565772818E-2</v>
      </c>
      <c r="AY202" s="92">
        <f t="shared" si="69"/>
        <v>0.25113649441822994</v>
      </c>
      <c r="AZ202" s="92">
        <f t="shared" si="76"/>
        <v>2.5000000000000001E-2</v>
      </c>
      <c r="BA202" s="92">
        <f t="shared" si="69"/>
        <v>0.28055555555555556</v>
      </c>
      <c r="BB202" s="92">
        <f t="shared" si="77"/>
        <v>2.9337811809133436E-2</v>
      </c>
      <c r="BC202" s="210">
        <f t="shared" si="69"/>
        <v>0.19931114969684896</v>
      </c>
      <c r="BD202" s="92">
        <f t="shared" si="78"/>
        <v>3.1120331950207473E-2</v>
      </c>
      <c r="BE202" s="210">
        <f t="shared" si="69"/>
        <v>0.20124481327800833</v>
      </c>
      <c r="BF202" s="47"/>
      <c r="BG202" s="92">
        <f t="shared" si="79"/>
        <v>5.7399306079348449E-2</v>
      </c>
      <c r="BH202" s="211">
        <f t="shared" si="70"/>
        <v>0.36242268818826379</v>
      </c>
      <c r="BI202" s="92">
        <f t="shared" si="80"/>
        <v>6.4655172413793066E-2</v>
      </c>
      <c r="BJ202" s="211">
        <f t="shared" si="71"/>
        <v>0.33620689655172409</v>
      </c>
      <c r="BK202" s="49"/>
      <c r="BL202" s="92">
        <f t="shared" si="72"/>
        <v>0</v>
      </c>
      <c r="BM202" s="262"/>
      <c r="BN202" s="262"/>
      <c r="BO202" s="262"/>
      <c r="BP202" s="262"/>
      <c r="BQ202" s="262"/>
      <c r="BR202" s="262"/>
      <c r="BS202" s="262"/>
      <c r="BT202" s="262"/>
      <c r="BU202" s="262"/>
      <c r="BV202" s="262"/>
      <c r="BW202" s="262"/>
      <c r="BX202" s="262"/>
      <c r="BY202" s="262"/>
      <c r="BZ202" s="262"/>
      <c r="CA202" s="262"/>
      <c r="CB202" s="262"/>
      <c r="CC202" s="262"/>
      <c r="CD202" s="262"/>
      <c r="CE202" s="262"/>
    </row>
    <row r="203" spans="1:83" s="2" customFormat="1" ht="19.5" hidden="1" outlineLevel="1" thickBot="1" x14ac:dyDescent="0.35">
      <c r="A203" s="262"/>
      <c r="B203" s="331"/>
      <c r="C203" s="262"/>
      <c r="D203" s="262"/>
      <c r="E203" s="294"/>
      <c r="F203" s="294"/>
      <c r="G203" s="294"/>
      <c r="H203" s="294"/>
      <c r="I203" s="294"/>
      <c r="J203" s="294"/>
      <c r="K203" s="294"/>
      <c r="L203" s="285"/>
      <c r="M203" s="286"/>
      <c r="N203" s="287"/>
      <c r="O203" s="262"/>
      <c r="P203" s="225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8"/>
      <c r="AD203" s="47"/>
      <c r="AE203" s="47"/>
      <c r="AF203" s="47"/>
      <c r="AG203" s="67"/>
      <c r="AH203" s="67"/>
      <c r="AI203" s="67"/>
      <c r="AJ203" s="47"/>
      <c r="AK203" s="67"/>
      <c r="AL203" s="67"/>
      <c r="AM203" s="67"/>
      <c r="AN203" s="47"/>
      <c r="AO203" s="47">
        <v>13</v>
      </c>
      <c r="AP203" s="47"/>
      <c r="AQ203" s="47"/>
      <c r="AR203" s="47"/>
      <c r="AS203" s="47"/>
      <c r="AT203" s="92">
        <f t="shared" si="73"/>
        <v>2.6028179741051028E-2</v>
      </c>
      <c r="AU203" s="209">
        <f t="shared" si="69"/>
        <v>0.34470677837014474</v>
      </c>
      <c r="AV203" s="92">
        <f t="shared" si="74"/>
        <v>2.8985507246376815E-2</v>
      </c>
      <c r="AW203" s="92">
        <f t="shared" si="69"/>
        <v>0.35869565217391303</v>
      </c>
      <c r="AX203" s="92">
        <f t="shared" si="75"/>
        <v>4.0180112786281509E-2</v>
      </c>
      <c r="AY203" s="92">
        <f t="shared" si="69"/>
        <v>0.29131660720451147</v>
      </c>
      <c r="AZ203" s="92">
        <f t="shared" si="76"/>
        <v>4.1666666666666664E-2</v>
      </c>
      <c r="BA203" s="92">
        <f t="shared" si="69"/>
        <v>0.32222222222222224</v>
      </c>
      <c r="BB203" s="92">
        <f t="shared" si="77"/>
        <v>2.7591965310789144E-2</v>
      </c>
      <c r="BC203" s="210">
        <f t="shared" si="69"/>
        <v>0.2269031150076381</v>
      </c>
      <c r="BD203" s="92">
        <f t="shared" si="78"/>
        <v>3.1120331950207473E-2</v>
      </c>
      <c r="BE203" s="210">
        <f t="shared" si="69"/>
        <v>0.2323651452282158</v>
      </c>
      <c r="BF203" s="47"/>
      <c r="BG203" s="92">
        <f t="shared" si="79"/>
        <v>1.8051993764770864E-2</v>
      </c>
      <c r="BH203" s="211">
        <f t="shared" si="70"/>
        <v>0.38047468195303463</v>
      </c>
      <c r="BI203" s="92">
        <f t="shared" si="80"/>
        <v>1.7241379310344796E-2</v>
      </c>
      <c r="BJ203" s="211">
        <f t="shared" si="71"/>
        <v>0.35344827586206889</v>
      </c>
      <c r="BK203" s="49"/>
      <c r="BL203" s="92">
        <f t="shared" si="72"/>
        <v>0.6020628131872241</v>
      </c>
      <c r="BM203" s="262"/>
      <c r="BN203" s="262"/>
      <c r="BO203" s="262"/>
      <c r="BP203" s="262"/>
      <c r="BQ203" s="262"/>
      <c r="BR203" s="262"/>
      <c r="BS203" s="262"/>
      <c r="BT203" s="262"/>
      <c r="BU203" s="262"/>
      <c r="BV203" s="262"/>
      <c r="BW203" s="262"/>
      <c r="BX203" s="262"/>
      <c r="BY203" s="262"/>
      <c r="BZ203" s="262"/>
      <c r="CA203" s="262"/>
      <c r="CB203" s="262"/>
      <c r="CC203" s="262"/>
      <c r="CD203" s="262"/>
      <c r="CE203" s="262"/>
    </row>
    <row r="204" spans="1:83" s="2" customFormat="1" collapsed="1" x14ac:dyDescent="0.3">
      <c r="A204" s="262"/>
      <c r="B204" s="277"/>
      <c r="C204" s="262"/>
      <c r="D204" s="262"/>
      <c r="E204" s="294"/>
      <c r="F204" s="294"/>
      <c r="G204" s="294"/>
      <c r="H204" s="294"/>
      <c r="I204" s="294"/>
      <c r="J204" s="294"/>
      <c r="K204" s="294"/>
      <c r="L204" s="285"/>
      <c r="M204" s="286"/>
      <c r="N204" s="287"/>
      <c r="O204" s="262"/>
      <c r="P204" s="225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8"/>
      <c r="AD204" s="47"/>
      <c r="AE204" s="47"/>
      <c r="AF204" s="190"/>
      <c r="AG204" s="118"/>
      <c r="AH204" s="193"/>
      <c r="AI204" s="67"/>
      <c r="AJ204" s="47"/>
      <c r="AK204" s="67"/>
      <c r="AL204" s="67"/>
      <c r="AM204" s="67"/>
      <c r="AN204" s="47"/>
      <c r="AO204" s="47">
        <v>14</v>
      </c>
      <c r="AP204" s="47"/>
      <c r="AQ204" s="47"/>
      <c r="AR204" s="47"/>
      <c r="AS204" s="47"/>
      <c r="AT204" s="92">
        <f t="shared" si="73"/>
        <v>3.9470677837014474E-2</v>
      </c>
      <c r="AU204" s="209">
        <f t="shared" si="69"/>
        <v>0.38417745620715921</v>
      </c>
      <c r="AV204" s="92">
        <f t="shared" si="74"/>
        <v>3.9855072463768119E-2</v>
      </c>
      <c r="AW204" s="92">
        <f t="shared" si="69"/>
        <v>0.39855072463768115</v>
      </c>
      <c r="AX204" s="92">
        <f t="shared" si="75"/>
        <v>1.9162159051674531E-2</v>
      </c>
      <c r="AY204" s="92">
        <f t="shared" si="69"/>
        <v>0.31047876625618598</v>
      </c>
      <c r="AZ204" s="92">
        <f t="shared" si="76"/>
        <v>1.9444444444444441E-2</v>
      </c>
      <c r="BA204" s="92">
        <f t="shared" si="69"/>
        <v>0.34166666666666667</v>
      </c>
      <c r="BB204" s="92">
        <f t="shared" si="77"/>
        <v>3.8399134667387778E-2</v>
      </c>
      <c r="BC204" s="210">
        <f t="shared" si="69"/>
        <v>0.26530224967502586</v>
      </c>
      <c r="BD204" s="92">
        <f t="shared" si="78"/>
        <v>3.5269709543568471E-2</v>
      </c>
      <c r="BE204" s="210">
        <f t="shared" si="69"/>
        <v>0.26763485477178428</v>
      </c>
      <c r="BF204" s="47"/>
      <c r="BG204" s="92">
        <f t="shared" si="79"/>
        <v>2.1043898023834617E-2</v>
      </c>
      <c r="BH204" s="211">
        <f t="shared" si="70"/>
        <v>0.40151857997686924</v>
      </c>
      <c r="BI204" s="92">
        <f t="shared" si="80"/>
        <v>3.4482758620689759E-2</v>
      </c>
      <c r="BJ204" s="211">
        <f t="shared" si="71"/>
        <v>0.38793103448275867</v>
      </c>
      <c r="BK204" s="49"/>
      <c r="BL204" s="92">
        <f t="shared" si="72"/>
        <v>0</v>
      </c>
      <c r="BM204" s="262"/>
      <c r="BN204" s="262"/>
      <c r="BO204" s="262"/>
      <c r="BP204" s="262"/>
      <c r="BQ204" s="262"/>
      <c r="BR204" s="262"/>
      <c r="BS204" s="262"/>
      <c r="BT204" s="262"/>
      <c r="BU204" s="262"/>
      <c r="BV204" s="262"/>
      <c r="BW204" s="262"/>
      <c r="BX204" s="262"/>
      <c r="BY204" s="262"/>
      <c r="BZ204" s="262"/>
      <c r="CA204" s="262"/>
      <c r="CB204" s="262"/>
      <c r="CC204" s="262"/>
      <c r="CD204" s="262"/>
      <c r="CE204" s="262"/>
    </row>
    <row r="205" spans="1:83" s="2" customFormat="1" x14ac:dyDescent="0.3">
      <c r="A205" s="262"/>
      <c r="B205" s="277"/>
      <c r="C205" s="262"/>
      <c r="D205" s="262"/>
      <c r="E205" s="294"/>
      <c r="F205" s="294"/>
      <c r="G205" s="294"/>
      <c r="H205" s="294"/>
      <c r="I205" s="294"/>
      <c r="J205" s="294"/>
      <c r="K205" s="294"/>
      <c r="L205" s="285"/>
      <c r="M205" s="286"/>
      <c r="N205" s="287"/>
      <c r="O205" s="262"/>
      <c r="P205" s="225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8"/>
      <c r="AD205" s="47"/>
      <c r="AE205" s="47"/>
      <c r="AF205" s="182"/>
      <c r="AG205" s="218"/>
      <c r="AH205" s="81"/>
      <c r="AI205" s="67"/>
      <c r="AJ205" s="47"/>
      <c r="AK205" s="67"/>
      <c r="AL205" s="67"/>
      <c r="AM205" s="67"/>
      <c r="AN205" s="47"/>
      <c r="AO205" s="47">
        <v>15</v>
      </c>
      <c r="AP205" s="47"/>
      <c r="AQ205" s="47"/>
      <c r="AR205" s="47"/>
      <c r="AS205" s="47"/>
      <c r="AT205" s="92">
        <f t="shared" si="73"/>
        <v>2.8484386900228486E-2</v>
      </c>
      <c r="AU205" s="209">
        <f t="shared" si="69"/>
        <v>0.41266184310738768</v>
      </c>
      <c r="AV205" s="92">
        <f t="shared" si="74"/>
        <v>2.5362318840579712E-2</v>
      </c>
      <c r="AW205" s="92">
        <f t="shared" si="69"/>
        <v>0.42391304347826086</v>
      </c>
      <c r="AX205" s="92">
        <f t="shared" si="75"/>
        <v>2.3089538496950168E-2</v>
      </c>
      <c r="AY205" s="92">
        <f t="shared" si="69"/>
        <v>0.33356830475313615</v>
      </c>
      <c r="AZ205" s="92">
        <f t="shared" si="76"/>
        <v>2.7777777777777776E-2</v>
      </c>
      <c r="BA205" s="92">
        <f t="shared" si="69"/>
        <v>0.36944444444444446</v>
      </c>
      <c r="BB205" s="92">
        <f t="shared" si="77"/>
        <v>4.134050648525045E-2</v>
      </c>
      <c r="BC205" s="210">
        <f t="shared" si="69"/>
        <v>0.30664275616027631</v>
      </c>
      <c r="BD205" s="92">
        <f t="shared" si="78"/>
        <v>3.9419087136929466E-2</v>
      </c>
      <c r="BE205" s="210">
        <f t="shared" si="69"/>
        <v>0.30705394190871377</v>
      </c>
      <c r="BF205" s="47"/>
      <c r="BG205" s="92">
        <f t="shared" si="79"/>
        <v>4.6764217830743762E-2</v>
      </c>
      <c r="BH205" s="211">
        <f t="shared" si="70"/>
        <v>0.44828279780761299</v>
      </c>
      <c r="BI205" s="92">
        <f t="shared" si="80"/>
        <v>3.8793103448275877E-2</v>
      </c>
      <c r="BJ205" s="211">
        <f t="shared" si="71"/>
        <v>0.42672413793103453</v>
      </c>
      <c r="BK205" s="49"/>
      <c r="BL205" s="92">
        <f t="shared" si="72"/>
        <v>0</v>
      </c>
      <c r="BM205" s="262"/>
      <c r="BN205" s="262"/>
      <c r="BO205" s="262"/>
      <c r="BP205" s="262"/>
      <c r="BQ205" s="262"/>
      <c r="BR205" s="262"/>
      <c r="BS205" s="262"/>
      <c r="BT205" s="262"/>
      <c r="BU205" s="262"/>
      <c r="BV205" s="262"/>
      <c r="BW205" s="262"/>
      <c r="BX205" s="262"/>
      <c r="BY205" s="262"/>
      <c r="BZ205" s="262"/>
      <c r="CA205" s="262"/>
      <c r="CB205" s="262"/>
      <c r="CC205" s="262"/>
      <c r="CD205" s="262"/>
      <c r="CE205" s="262"/>
    </row>
    <row r="206" spans="1:83" s="2" customFormat="1" x14ac:dyDescent="0.3">
      <c r="A206" s="262"/>
      <c r="B206" s="277"/>
      <c r="C206" s="262"/>
      <c r="D206" s="262"/>
      <c r="E206" s="294"/>
      <c r="F206" s="294"/>
      <c r="G206" s="294"/>
      <c r="H206" s="294"/>
      <c r="I206" s="294"/>
      <c r="J206" s="294"/>
      <c r="K206" s="294"/>
      <c r="L206" s="285"/>
      <c r="M206" s="286"/>
      <c r="N206" s="287"/>
      <c r="O206" s="262"/>
      <c r="P206" s="225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8"/>
      <c r="AD206" s="47"/>
      <c r="AE206" s="47"/>
      <c r="AF206" s="182"/>
      <c r="AG206" s="218"/>
      <c r="AH206" s="81"/>
      <c r="AI206" s="67"/>
      <c r="AJ206" s="47"/>
      <c r="AK206" s="67"/>
      <c r="AL206" s="67"/>
      <c r="AM206" s="67"/>
      <c r="AN206" s="47"/>
      <c r="AO206" s="47">
        <v>16</v>
      </c>
      <c r="AP206" s="47"/>
      <c r="AQ206" s="47"/>
      <c r="AR206" s="47"/>
      <c r="AS206" s="47"/>
      <c r="AT206" s="92">
        <f t="shared" si="73"/>
        <v>5.1180502665651183E-2</v>
      </c>
      <c r="AU206" s="209">
        <f t="shared" si="69"/>
        <v>0.46384234577303884</v>
      </c>
      <c r="AV206" s="92">
        <f t="shared" si="74"/>
        <v>4.3478260869565223E-2</v>
      </c>
      <c r="AW206" s="92">
        <f t="shared" si="69"/>
        <v>0.46739130434782611</v>
      </c>
      <c r="AX206" s="92">
        <f t="shared" si="75"/>
        <v>4.3632754056853497E-2</v>
      </c>
      <c r="AY206" s="92">
        <f t="shared" si="69"/>
        <v>0.37720105880998966</v>
      </c>
      <c r="AZ206" s="92">
        <f t="shared" si="76"/>
        <v>4.7222222222222221E-2</v>
      </c>
      <c r="BA206" s="92">
        <f t="shared" si="69"/>
        <v>0.41666666666666669</v>
      </c>
      <c r="BB206" s="92">
        <f t="shared" si="77"/>
        <v>5.6796940973309423E-2</v>
      </c>
      <c r="BC206" s="210">
        <f t="shared" si="69"/>
        <v>0.3634396971335857</v>
      </c>
      <c r="BD206" s="92">
        <f t="shared" si="78"/>
        <v>4.7717842323651456E-2</v>
      </c>
      <c r="BE206" s="210">
        <f t="shared" si="69"/>
        <v>0.35477178423236522</v>
      </c>
      <c r="BF206" s="47"/>
      <c r="BG206" s="92">
        <f t="shared" si="79"/>
        <v>4.7166490672298576E-2</v>
      </c>
      <c r="BH206" s="211">
        <f t="shared" si="70"/>
        <v>0.49544928847991154</v>
      </c>
      <c r="BI206" s="92">
        <f t="shared" si="80"/>
        <v>4.3103448275861989E-2</v>
      </c>
      <c r="BJ206" s="211">
        <f t="shared" si="71"/>
        <v>0.46982758620689652</v>
      </c>
      <c r="BK206" s="49"/>
      <c r="BL206" s="92">
        <f t="shared" si="72"/>
        <v>0</v>
      </c>
      <c r="BM206" s="262"/>
      <c r="BN206" s="262"/>
      <c r="BO206" s="262"/>
      <c r="BP206" s="262"/>
      <c r="BQ206" s="262"/>
      <c r="BR206" s="262"/>
      <c r="BS206" s="262"/>
      <c r="BT206" s="262"/>
      <c r="BU206" s="262"/>
      <c r="BV206" s="262"/>
      <c r="BW206" s="262"/>
      <c r="BX206" s="262"/>
      <c r="BY206" s="262"/>
      <c r="BZ206" s="262"/>
      <c r="CA206" s="262"/>
      <c r="CB206" s="262"/>
      <c r="CC206" s="262"/>
      <c r="CD206" s="262"/>
      <c r="CE206" s="262"/>
    </row>
    <row r="207" spans="1:83" s="2" customFormat="1" x14ac:dyDescent="0.3">
      <c r="A207" s="262"/>
      <c r="B207" s="277"/>
      <c r="C207" s="262"/>
      <c r="D207" s="262"/>
      <c r="E207" s="294"/>
      <c r="F207" s="294"/>
      <c r="G207" s="294"/>
      <c r="H207" s="294"/>
      <c r="I207" s="294"/>
      <c r="J207" s="294"/>
      <c r="K207" s="294"/>
      <c r="L207" s="285"/>
      <c r="M207" s="286"/>
      <c r="N207" s="287"/>
      <c r="O207" s="262"/>
      <c r="P207" s="225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8"/>
      <c r="AD207" s="47"/>
      <c r="AE207" s="47"/>
      <c r="AF207" s="182"/>
      <c r="AG207" s="218"/>
      <c r="AH207" s="81"/>
      <c r="AI207" s="67"/>
      <c r="AJ207" s="47"/>
      <c r="AK207" s="67"/>
      <c r="AL207" s="67"/>
      <c r="AM207" s="67"/>
      <c r="AN207" s="47"/>
      <c r="AO207" s="47">
        <v>17</v>
      </c>
      <c r="AP207" s="47"/>
      <c r="AQ207" s="47"/>
      <c r="AR207" s="47"/>
      <c r="AS207" s="47"/>
      <c r="AT207" s="92">
        <f t="shared" si="73"/>
        <v>4.6001523229246007E-2</v>
      </c>
      <c r="AU207" s="209">
        <f t="shared" si="69"/>
        <v>0.50984386900228484</v>
      </c>
      <c r="AV207" s="92">
        <f t="shared" si="74"/>
        <v>5.0724637681159424E-2</v>
      </c>
      <c r="AW207" s="92">
        <f t="shared" si="69"/>
        <v>0.51811594202898559</v>
      </c>
      <c r="AX207" s="92">
        <f t="shared" si="75"/>
        <v>9.7594659914834861E-2</v>
      </c>
      <c r="AY207" s="92">
        <f t="shared" si="69"/>
        <v>0.47479571872482451</v>
      </c>
      <c r="AZ207" s="92">
        <f t="shared" si="76"/>
        <v>0.11944444444444444</v>
      </c>
      <c r="BA207" s="92">
        <f t="shared" si="69"/>
        <v>0.53611111111111109</v>
      </c>
      <c r="BB207" s="92">
        <f t="shared" si="77"/>
        <v>5.7831165257654686E-2</v>
      </c>
      <c r="BC207" s="210">
        <f t="shared" si="69"/>
        <v>0.4212708623912404</v>
      </c>
      <c r="BD207" s="92">
        <f t="shared" si="78"/>
        <v>5.3941908713692956E-2</v>
      </c>
      <c r="BE207" s="210">
        <f t="shared" si="69"/>
        <v>0.40871369294605819</v>
      </c>
      <c r="BF207" s="47"/>
      <c r="BG207" s="92">
        <f t="shared" si="79"/>
        <v>4.4300296676220534E-2</v>
      </c>
      <c r="BH207" s="211">
        <f t="shared" si="70"/>
        <v>0.53974958515613203</v>
      </c>
      <c r="BI207" s="92">
        <f t="shared" si="80"/>
        <v>3.8793103448275877E-2</v>
      </c>
      <c r="BJ207" s="211">
        <f t="shared" si="71"/>
        <v>0.50862068965517238</v>
      </c>
      <c r="BK207" s="49"/>
      <c r="BL207" s="92">
        <f t="shared" si="72"/>
        <v>0</v>
      </c>
      <c r="BM207" s="262"/>
      <c r="BN207" s="262"/>
      <c r="BO207" s="262"/>
      <c r="BP207" s="262"/>
      <c r="BQ207" s="262"/>
      <c r="BR207" s="262"/>
      <c r="BS207" s="262"/>
      <c r="BT207" s="262"/>
      <c r="BU207" s="262"/>
      <c r="BV207" s="262"/>
      <c r="BW207" s="262"/>
      <c r="BX207" s="262"/>
      <c r="BY207" s="262"/>
      <c r="BZ207" s="262"/>
      <c r="CA207" s="262"/>
      <c r="CB207" s="262"/>
      <c r="CC207" s="262"/>
      <c r="CD207" s="262"/>
      <c r="CE207" s="262"/>
    </row>
    <row r="208" spans="1:83" s="2" customFormat="1" x14ac:dyDescent="0.3">
      <c r="A208" s="262"/>
      <c r="B208" s="277"/>
      <c r="C208" s="262"/>
      <c r="D208" s="262"/>
      <c r="E208" s="294"/>
      <c r="F208" s="294"/>
      <c r="G208" s="294"/>
      <c r="H208" s="294"/>
      <c r="I208" s="294"/>
      <c r="J208" s="294"/>
      <c r="K208" s="294"/>
      <c r="L208" s="285"/>
      <c r="M208" s="286"/>
      <c r="N208" s="287"/>
      <c r="O208" s="262"/>
      <c r="P208" s="225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8"/>
      <c r="AD208" s="47"/>
      <c r="AE208" s="47"/>
      <c r="AF208" s="182"/>
      <c r="AG208" s="218"/>
      <c r="AH208" s="81"/>
      <c r="AI208" s="67"/>
      <c r="AJ208" s="47"/>
      <c r="AK208" s="67"/>
      <c r="AL208" s="67"/>
      <c r="AM208" s="67"/>
      <c r="AN208" s="47"/>
      <c r="AO208" s="47">
        <v>18</v>
      </c>
      <c r="AP208" s="47"/>
      <c r="AQ208" s="47"/>
      <c r="AR208" s="47"/>
      <c r="AS208" s="47"/>
      <c r="AT208" s="92">
        <f t="shared" si="73"/>
        <v>4.7429550647372427E-2</v>
      </c>
      <c r="AU208" s="209">
        <f t="shared" si="69"/>
        <v>0.55727341964965726</v>
      </c>
      <c r="AV208" s="92">
        <f t="shared" si="74"/>
        <v>5.0724637681159424E-2</v>
      </c>
      <c r="AW208" s="92">
        <f t="shared" si="69"/>
        <v>0.56884057971014501</v>
      </c>
      <c r="AX208" s="92">
        <f t="shared" si="75"/>
        <v>7.3958453216710782E-2</v>
      </c>
      <c r="AY208" s="92">
        <f t="shared" si="69"/>
        <v>0.54875417194153531</v>
      </c>
      <c r="AZ208" s="92">
        <f t="shared" si="76"/>
        <v>7.4999999999999997E-2</v>
      </c>
      <c r="BA208" s="92">
        <f t="shared" si="69"/>
        <v>0.61111111111111105</v>
      </c>
      <c r="BB208" s="92">
        <f t="shared" si="77"/>
        <v>5.5724763504217553E-2</v>
      </c>
      <c r="BC208" s="210">
        <f t="shared" si="69"/>
        <v>0.47699562589545796</v>
      </c>
      <c r="BD208" s="92">
        <f t="shared" si="78"/>
        <v>6.2240663900414946E-2</v>
      </c>
      <c r="BE208" s="210">
        <f t="shared" si="69"/>
        <v>0.47095435684647313</v>
      </c>
      <c r="BF208" s="47"/>
      <c r="BG208" s="92">
        <f t="shared" si="79"/>
        <v>6.592246190979037E-2</v>
      </c>
      <c r="BH208" s="211">
        <f t="shared" si="70"/>
        <v>0.60567204706592237</v>
      </c>
      <c r="BI208" s="92">
        <f t="shared" si="80"/>
        <v>7.3275862068965469E-2</v>
      </c>
      <c r="BJ208" s="211">
        <f t="shared" si="71"/>
        <v>0.5818965517241379</v>
      </c>
      <c r="BK208" s="49"/>
      <c r="BL208" s="92">
        <f t="shared" si="72"/>
        <v>0</v>
      </c>
      <c r="BM208" s="262"/>
      <c r="BN208" s="262"/>
      <c r="BO208" s="262"/>
      <c r="BP208" s="262"/>
      <c r="BQ208" s="262"/>
      <c r="BR208" s="262"/>
      <c r="BS208" s="262"/>
      <c r="BT208" s="262"/>
      <c r="BU208" s="262"/>
      <c r="BV208" s="262"/>
      <c r="BW208" s="262"/>
      <c r="BX208" s="262"/>
      <c r="BY208" s="262"/>
      <c r="BZ208" s="262"/>
      <c r="CA208" s="262"/>
      <c r="CB208" s="262"/>
      <c r="CC208" s="262"/>
      <c r="CD208" s="262"/>
      <c r="CE208" s="262"/>
    </row>
    <row r="209" spans="1:83" s="2" customFormat="1" x14ac:dyDescent="0.3">
      <c r="A209" s="262"/>
      <c r="B209" s="277"/>
      <c r="C209" s="262"/>
      <c r="D209" s="262"/>
      <c r="E209" s="294"/>
      <c r="F209" s="294"/>
      <c r="G209" s="294"/>
      <c r="H209" s="294"/>
      <c r="I209" s="294"/>
      <c r="J209" s="294"/>
      <c r="K209" s="294"/>
      <c r="L209" s="285"/>
      <c r="M209" s="286"/>
      <c r="N209" s="287"/>
      <c r="O209" s="262"/>
      <c r="P209" s="225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8"/>
      <c r="AD209" s="47"/>
      <c r="AE209" s="47"/>
      <c r="AF209" s="182">
        <f>AF187*Vergleich!AU41</f>
        <v>0</v>
      </c>
      <c r="AG209" s="218"/>
      <c r="AH209" s="81">
        <f>ROUND(Z187*Vergleich!AV41,)</f>
        <v>0</v>
      </c>
      <c r="AI209" s="67"/>
      <c r="AJ209" s="47"/>
      <c r="AK209" s="67"/>
      <c r="AL209" s="67"/>
      <c r="AM209" s="67"/>
      <c r="AN209" s="47"/>
      <c r="AO209" s="47">
        <v>19</v>
      </c>
      <c r="AP209" s="47"/>
      <c r="AQ209" s="47"/>
      <c r="AR209" s="47"/>
      <c r="AS209" s="47"/>
      <c r="AT209" s="92">
        <f t="shared" si="73"/>
        <v>8.9185072353389183E-2</v>
      </c>
      <c r="AU209" s="209">
        <f t="shared" si="69"/>
        <v>0.6464584920030465</v>
      </c>
      <c r="AV209" s="92">
        <f t="shared" si="74"/>
        <v>8.6956521739130446E-2</v>
      </c>
      <c r="AW209" s="92">
        <f t="shared" si="69"/>
        <v>0.6557971014492755</v>
      </c>
      <c r="AX209" s="92">
        <f t="shared" si="75"/>
        <v>0.13229370468408333</v>
      </c>
      <c r="AY209" s="92">
        <f t="shared" si="69"/>
        <v>0.68104787662561861</v>
      </c>
      <c r="AZ209" s="92">
        <f t="shared" si="76"/>
        <v>9.7222222222222224E-2</v>
      </c>
      <c r="BA209" s="92">
        <f t="shared" si="69"/>
        <v>0.70833333333333326</v>
      </c>
      <c r="BB209" s="92">
        <f t="shared" si="77"/>
        <v>7.706394162800187E-2</v>
      </c>
      <c r="BC209" s="210">
        <f t="shared" si="69"/>
        <v>0.55405956752345986</v>
      </c>
      <c r="BD209" s="92">
        <f t="shared" si="78"/>
        <v>7.4688796680497938E-2</v>
      </c>
      <c r="BE209" s="210">
        <f t="shared" si="69"/>
        <v>0.54564315352697101</v>
      </c>
      <c r="BF209" s="47"/>
      <c r="BG209" s="92">
        <f t="shared" si="79"/>
        <v>7.3289083320762366E-2</v>
      </c>
      <c r="BH209" s="211">
        <f t="shared" si="70"/>
        <v>0.67896113038668471</v>
      </c>
      <c r="BI209" s="92">
        <f t="shared" si="80"/>
        <v>7.3275862068965469E-2</v>
      </c>
      <c r="BJ209" s="211">
        <f t="shared" si="71"/>
        <v>0.65517241379310343</v>
      </c>
      <c r="BK209" s="49"/>
      <c r="BL209" s="92">
        <f t="shared" si="72"/>
        <v>0</v>
      </c>
      <c r="BM209" s="262"/>
      <c r="BN209" s="262"/>
      <c r="BO209" s="262"/>
      <c r="BP209" s="262"/>
      <c r="BQ209" s="262"/>
      <c r="BR209" s="262"/>
      <c r="BS209" s="262"/>
      <c r="BT209" s="262"/>
      <c r="BU209" s="262"/>
      <c r="BV209" s="262"/>
      <c r="BW209" s="262"/>
      <c r="BX209" s="262"/>
      <c r="BY209" s="262"/>
      <c r="BZ209" s="262"/>
      <c r="CA209" s="262"/>
      <c r="CB209" s="262"/>
      <c r="CC209" s="262"/>
      <c r="CD209" s="262"/>
      <c r="CE209" s="262"/>
    </row>
    <row r="210" spans="1:83" s="2" customFormat="1" x14ac:dyDescent="0.3">
      <c r="A210" s="262"/>
      <c r="B210" s="277"/>
      <c r="C210" s="262"/>
      <c r="D210" s="262"/>
      <c r="E210" s="294"/>
      <c r="F210" s="294"/>
      <c r="G210" s="294"/>
      <c r="H210" s="294"/>
      <c r="I210" s="294"/>
      <c r="J210" s="294"/>
      <c r="K210" s="294"/>
      <c r="L210" s="285"/>
      <c r="M210" s="286"/>
      <c r="N210" s="287"/>
      <c r="O210" s="262"/>
      <c r="P210" s="225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8"/>
      <c r="AD210" s="47"/>
      <c r="AE210" s="47"/>
      <c r="AF210" s="191">
        <f>MIN(AF205:AF209)</f>
        <v>0</v>
      </c>
      <c r="AG210" s="67"/>
      <c r="AH210" s="208">
        <f>MIN(AH205:AH209)</f>
        <v>0</v>
      </c>
      <c r="AI210" s="67"/>
      <c r="AJ210" s="47"/>
      <c r="AK210" s="67"/>
      <c r="AL210" s="67"/>
      <c r="AM210" s="67"/>
      <c r="AN210" s="47"/>
      <c r="AO210" s="47">
        <v>20</v>
      </c>
      <c r="AP210" s="47"/>
      <c r="AQ210" s="47"/>
      <c r="AR210" s="47"/>
      <c r="AS210" s="47"/>
      <c r="AT210" s="92">
        <f t="shared" si="73"/>
        <v>0.14394516374714394</v>
      </c>
      <c r="AU210" s="209">
        <f t="shared" si="69"/>
        <v>0.79040365575019045</v>
      </c>
      <c r="AV210" s="92">
        <f t="shared" si="74"/>
        <v>0.14130434782608697</v>
      </c>
      <c r="AW210" s="92">
        <f t="shared" si="69"/>
        <v>0.79710144927536253</v>
      </c>
      <c r="AX210" s="92">
        <f t="shared" si="75"/>
        <v>0.11065715272183221</v>
      </c>
      <c r="AY210" s="92">
        <f t="shared" si="69"/>
        <v>0.79170502934745079</v>
      </c>
      <c r="AZ210" s="92">
        <f t="shared" si="76"/>
        <v>9.7222222222222224E-2</v>
      </c>
      <c r="BA210" s="92">
        <f t="shared" si="69"/>
        <v>0.80555555555555547</v>
      </c>
      <c r="BB210" s="92">
        <f t="shared" si="77"/>
        <v>6.4349624737885816E-2</v>
      </c>
      <c r="BC210" s="210">
        <f t="shared" si="69"/>
        <v>0.61840919226134572</v>
      </c>
      <c r="BD210" s="92">
        <f t="shared" si="78"/>
        <v>8.0912863070539423E-2</v>
      </c>
      <c r="BE210" s="210">
        <f t="shared" si="69"/>
        <v>0.62655601659751048</v>
      </c>
      <c r="BF210" s="47"/>
      <c r="BG210" s="92">
        <f t="shared" si="79"/>
        <v>0.12661537687936833</v>
      </c>
      <c r="BH210" s="211">
        <f t="shared" si="70"/>
        <v>0.80557650726605301</v>
      </c>
      <c r="BI210" s="92">
        <f t="shared" si="80"/>
        <v>0.14224137931034481</v>
      </c>
      <c r="BJ210" s="211">
        <f t="shared" si="71"/>
        <v>0.79741379310344818</v>
      </c>
      <c r="BK210" s="49"/>
      <c r="BL210" s="92">
        <f t="shared" si="72"/>
        <v>0</v>
      </c>
      <c r="BM210" s="262"/>
      <c r="BN210" s="262"/>
      <c r="BO210" s="262"/>
      <c r="BP210" s="262"/>
      <c r="BQ210" s="262"/>
      <c r="BR210" s="262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</row>
    <row r="211" spans="1:83" s="2" customFormat="1" x14ac:dyDescent="0.3">
      <c r="A211" s="262"/>
      <c r="B211" s="277"/>
      <c r="C211" s="262"/>
      <c r="D211" s="262"/>
      <c r="E211" s="294"/>
      <c r="F211" s="294"/>
      <c r="G211" s="294"/>
      <c r="H211" s="294"/>
      <c r="I211" s="294"/>
      <c r="J211" s="294"/>
      <c r="K211" s="294"/>
      <c r="L211" s="285"/>
      <c r="M211" s="286"/>
      <c r="N211" s="287"/>
      <c r="O211" s="262"/>
      <c r="P211" s="225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8"/>
      <c r="AD211" s="47"/>
      <c r="AE211" s="47"/>
      <c r="AF211" s="47"/>
      <c r="AG211" s="67"/>
      <c r="AH211" s="67"/>
      <c r="AI211" s="67"/>
      <c r="AJ211" s="47"/>
      <c r="AK211" s="67"/>
      <c r="AL211" s="67"/>
      <c r="AM211" s="67"/>
      <c r="AN211" s="47"/>
      <c r="AO211" s="47">
        <v>21</v>
      </c>
      <c r="AP211" s="47"/>
      <c r="AQ211" s="47"/>
      <c r="AR211" s="47"/>
      <c r="AS211" s="47"/>
      <c r="AT211" s="92">
        <f t="shared" si="73"/>
        <v>0.20959634424980961</v>
      </c>
      <c r="AU211" s="209">
        <f t="shared" si="69"/>
        <v>1</v>
      </c>
      <c r="AV211" s="92">
        <f t="shared" si="74"/>
        <v>0.20289855072463769</v>
      </c>
      <c r="AW211" s="92">
        <f t="shared" si="69"/>
        <v>1.0000000000000002</v>
      </c>
      <c r="AX211" s="92">
        <f t="shared" si="75"/>
        <v>0.20829497065254921</v>
      </c>
      <c r="AY211" s="92">
        <f t="shared" si="69"/>
        <v>1</v>
      </c>
      <c r="AZ211" s="92">
        <f t="shared" si="76"/>
        <v>0.19444444444444445</v>
      </c>
      <c r="BA211" s="92">
        <f t="shared" si="69"/>
        <v>0.99999999999999989</v>
      </c>
      <c r="BB211" s="92">
        <f t="shared" si="77"/>
        <v>0.38159080773865439</v>
      </c>
      <c r="BC211" s="210">
        <f t="shared" si="69"/>
        <v>1</v>
      </c>
      <c r="BD211" s="92">
        <f t="shared" si="78"/>
        <v>0.37344398340248969</v>
      </c>
      <c r="BE211" s="210">
        <f t="shared" si="69"/>
        <v>1.0000000000000002</v>
      </c>
      <c r="BF211" s="47"/>
      <c r="BG211" s="92">
        <f t="shared" si="79"/>
        <v>0.19442349273394688</v>
      </c>
      <c r="BH211" s="211">
        <f t="shared" si="70"/>
        <v>0.99999999999999989</v>
      </c>
      <c r="BI211" s="92">
        <f t="shared" si="80"/>
        <v>0.20258620689655177</v>
      </c>
      <c r="BJ211" s="211">
        <f t="shared" si="71"/>
        <v>1</v>
      </c>
      <c r="BK211" s="49"/>
      <c r="BL211" s="92">
        <f t="shared" si="72"/>
        <v>0</v>
      </c>
      <c r="BM211" s="262"/>
      <c r="BN211" s="262"/>
      <c r="BO211" s="262"/>
      <c r="BP211" s="262"/>
      <c r="BQ211" s="262"/>
      <c r="BR211" s="262"/>
      <c r="BS211" s="262"/>
      <c r="BT211" s="262"/>
      <c r="BU211" s="262"/>
      <c r="BV211" s="262"/>
      <c r="BW211" s="262"/>
      <c r="BX211" s="262"/>
      <c r="BY211" s="262"/>
      <c r="BZ211" s="262"/>
      <c r="CA211" s="262"/>
      <c r="CB211" s="262"/>
      <c r="CC211" s="262"/>
      <c r="CD211" s="262"/>
      <c r="CE211" s="262"/>
    </row>
    <row r="212" spans="1:83" s="2" customFormat="1" x14ac:dyDescent="0.3">
      <c r="A212" s="262"/>
      <c r="B212" s="277"/>
      <c r="C212" s="262"/>
      <c r="D212" s="262"/>
      <c r="E212" s="294"/>
      <c r="F212" s="294"/>
      <c r="G212" s="294"/>
      <c r="H212" s="294"/>
      <c r="I212" s="294"/>
      <c r="J212" s="294"/>
      <c r="K212" s="294"/>
      <c r="L212" s="285"/>
      <c r="M212" s="286"/>
      <c r="N212" s="287"/>
      <c r="O212" s="262"/>
      <c r="P212" s="225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8"/>
      <c r="AD212" s="47"/>
      <c r="AE212" s="47"/>
      <c r="AF212" s="47"/>
      <c r="AG212" s="67"/>
      <c r="AH212" s="67"/>
      <c r="AI212" s="67"/>
      <c r="AJ212" s="47"/>
      <c r="AK212" s="67"/>
      <c r="AL212" s="67"/>
      <c r="AM212" s="67"/>
      <c r="AN212" s="47"/>
      <c r="AO212" s="47"/>
      <c r="AP212" s="47"/>
      <c r="AQ212" s="47"/>
      <c r="AR212" s="47"/>
      <c r="AS212" s="47"/>
      <c r="AT212" s="92">
        <f>SUM(AT197:AT199)</f>
        <v>0.16165270373191165</v>
      </c>
      <c r="AU212" s="47"/>
      <c r="AV212" s="92">
        <f>SUM(AV197:AV199)</f>
        <v>0.17028985507246377</v>
      </c>
      <c r="AW212" s="48"/>
      <c r="AX212" s="92">
        <f>SUM(AX197:AX199)</f>
        <v>0.13624985613994708</v>
      </c>
      <c r="AY212" s="47"/>
      <c r="AZ212" s="92">
        <f>SUM(AZ197:AZ199)</f>
        <v>0.15555555555555556</v>
      </c>
      <c r="BA212" s="48"/>
      <c r="BB212" s="92">
        <f>SUM(BB197:BB199)</f>
        <v>0.10863150304099893</v>
      </c>
      <c r="BC212" s="47"/>
      <c r="BD212" s="92">
        <f>SUM(BD197:BD199)</f>
        <v>0.1141078838174274</v>
      </c>
      <c r="BE212" s="48"/>
      <c r="BF212" s="47"/>
      <c r="BG212" s="92">
        <f>SUM(BG197:BG199)</f>
        <v>0.13317745260723088</v>
      </c>
      <c r="BH212" s="47"/>
      <c r="BI212" s="92">
        <f>SUM(BI197:BI199)</f>
        <v>0.11637931034482762</v>
      </c>
      <c r="BJ212" s="48"/>
      <c r="BK212" s="49"/>
      <c r="BL212" s="47"/>
      <c r="BM212" s="262"/>
      <c r="BN212" s="262"/>
      <c r="BO212" s="262"/>
      <c r="BP212" s="262"/>
      <c r="BQ212" s="262"/>
      <c r="BR212" s="262"/>
      <c r="BS212" s="262"/>
      <c r="BT212" s="262"/>
      <c r="BU212" s="262"/>
      <c r="BV212" s="262"/>
      <c r="BW212" s="262"/>
      <c r="BX212" s="262"/>
      <c r="BY212" s="262"/>
      <c r="BZ212" s="262"/>
      <c r="CA212" s="262"/>
      <c r="CB212" s="262"/>
      <c r="CC212" s="262"/>
      <c r="CD212" s="262"/>
      <c r="CE212" s="262"/>
    </row>
    <row r="213" spans="1:83" s="2" customFormat="1" x14ac:dyDescent="0.3">
      <c r="A213" s="262"/>
      <c r="B213" s="277"/>
      <c r="C213" s="262"/>
      <c r="D213" s="262"/>
      <c r="E213" s="294"/>
      <c r="F213" s="294"/>
      <c r="G213" s="294"/>
      <c r="H213" s="294"/>
      <c r="I213" s="294"/>
      <c r="J213" s="294"/>
      <c r="K213" s="294"/>
      <c r="L213" s="285"/>
      <c r="M213" s="286"/>
      <c r="N213" s="287"/>
      <c r="O213" s="262"/>
      <c r="P213" s="225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8"/>
      <c r="AD213" s="47"/>
      <c r="AE213" s="47"/>
      <c r="AF213" s="47"/>
      <c r="AG213" s="67"/>
      <c r="AH213" s="67"/>
      <c r="AI213" s="67"/>
      <c r="AJ213" s="47"/>
      <c r="AK213" s="67"/>
      <c r="AL213" s="67"/>
      <c r="AM213" s="67"/>
      <c r="AN213" s="47"/>
      <c r="AO213" s="47"/>
      <c r="AP213" s="47"/>
      <c r="AQ213" s="47"/>
      <c r="AR213" s="47"/>
      <c r="AS213" s="47"/>
      <c r="AT213" s="47"/>
      <c r="AU213" s="47"/>
      <c r="AV213" s="48"/>
      <c r="AW213" s="48"/>
      <c r="AX213" s="47"/>
      <c r="AY213" s="47"/>
      <c r="AZ213" s="48"/>
      <c r="BA213" s="48"/>
      <c r="BB213" s="47"/>
      <c r="BC213" s="47"/>
      <c r="BD213" s="48"/>
      <c r="BE213" s="48"/>
      <c r="BF213" s="47"/>
      <c r="BG213" s="47"/>
      <c r="BH213" s="47"/>
      <c r="BI213" s="48"/>
      <c r="BJ213" s="48"/>
      <c r="BK213" s="49"/>
      <c r="BL213" s="47"/>
      <c r="BM213" s="262"/>
      <c r="BN213" s="262"/>
      <c r="BO213" s="262"/>
      <c r="BP213" s="262"/>
      <c r="BQ213" s="262"/>
      <c r="BR213" s="262"/>
      <c r="BS213" s="262"/>
      <c r="BT213" s="262"/>
      <c r="BU213" s="262"/>
      <c r="BV213" s="262"/>
      <c r="BW213" s="262"/>
      <c r="BX213" s="262"/>
      <c r="BY213" s="262"/>
      <c r="BZ213" s="262"/>
      <c r="CA213" s="262"/>
      <c r="CB213" s="262"/>
      <c r="CC213" s="262"/>
      <c r="CD213" s="262"/>
      <c r="CE213" s="262"/>
    </row>
    <row r="214" spans="1:83" s="2" customFormat="1" x14ac:dyDescent="0.3">
      <c r="A214" s="262"/>
      <c r="B214" s="277"/>
      <c r="C214" s="262"/>
      <c r="D214" s="262"/>
      <c r="E214" s="294"/>
      <c r="F214" s="294"/>
      <c r="G214" s="294"/>
      <c r="H214" s="294"/>
      <c r="I214" s="294"/>
      <c r="J214" s="294"/>
      <c r="K214" s="294"/>
      <c r="L214" s="285"/>
      <c r="M214" s="286"/>
      <c r="N214" s="287"/>
      <c r="O214" s="262"/>
      <c r="P214" s="225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8"/>
      <c r="AD214" s="47"/>
      <c r="AE214" s="47"/>
      <c r="AF214" s="47"/>
      <c r="AG214" s="67"/>
      <c r="AH214" s="67"/>
      <c r="AI214" s="67"/>
      <c r="AJ214" s="47"/>
      <c r="AK214" s="67"/>
      <c r="AL214" s="67"/>
      <c r="AM214" s="67"/>
      <c r="AN214" s="47"/>
      <c r="AO214" s="47"/>
      <c r="AP214" s="47"/>
      <c r="AQ214" s="47"/>
      <c r="AR214" s="47"/>
      <c r="AS214" s="47"/>
      <c r="AT214" s="47"/>
      <c r="AU214" s="47"/>
      <c r="AV214" s="48"/>
      <c r="AW214" s="48"/>
      <c r="AX214" s="47"/>
      <c r="AY214" s="47"/>
      <c r="AZ214" s="48"/>
      <c r="BA214" s="48"/>
      <c r="BB214" s="47"/>
      <c r="BC214" s="47"/>
      <c r="BD214" s="48"/>
      <c r="BE214" s="48"/>
      <c r="BF214" s="47"/>
      <c r="BG214" s="47"/>
      <c r="BH214" s="47"/>
      <c r="BI214" s="48"/>
      <c r="BJ214" s="48"/>
      <c r="BK214" s="49"/>
      <c r="BL214" s="47"/>
      <c r="BM214" s="262"/>
      <c r="BN214" s="262"/>
      <c r="BO214" s="262"/>
      <c r="BP214" s="262"/>
      <c r="BQ214" s="262"/>
      <c r="BR214" s="262"/>
      <c r="BS214" s="262"/>
      <c r="BT214" s="262"/>
      <c r="BU214" s="262"/>
      <c r="BV214" s="262"/>
      <c r="BW214" s="262"/>
      <c r="BX214" s="262"/>
      <c r="BY214" s="262"/>
      <c r="BZ214" s="262"/>
      <c r="CA214" s="262"/>
      <c r="CB214" s="262"/>
      <c r="CC214" s="262"/>
      <c r="CD214" s="262"/>
      <c r="CE214" s="262"/>
    </row>
    <row r="215" spans="1:83" s="2" customFormat="1" x14ac:dyDescent="0.3">
      <c r="A215" s="262"/>
      <c r="B215" s="277"/>
      <c r="C215" s="262"/>
      <c r="D215" s="262"/>
      <c r="E215" s="294"/>
      <c r="F215" s="294"/>
      <c r="G215" s="294"/>
      <c r="H215" s="294"/>
      <c r="I215" s="294"/>
      <c r="J215" s="294"/>
      <c r="K215" s="294"/>
      <c r="L215" s="285"/>
      <c r="M215" s="286"/>
      <c r="N215" s="287"/>
      <c r="O215" s="262"/>
      <c r="P215" s="225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8"/>
      <c r="AD215" s="47"/>
      <c r="AE215" s="47"/>
      <c r="AF215" s="47"/>
      <c r="AG215" s="67"/>
      <c r="AH215" s="67"/>
      <c r="AI215" s="67"/>
      <c r="AJ215" s="47"/>
      <c r="AK215" s="67"/>
      <c r="AL215" s="67"/>
      <c r="AM215" s="67"/>
      <c r="AN215" s="47"/>
      <c r="AO215" s="47"/>
      <c r="AP215" s="47"/>
      <c r="AQ215" s="47"/>
      <c r="AR215" s="47"/>
      <c r="AS215" s="47"/>
      <c r="AT215" s="47"/>
      <c r="AU215" s="47"/>
      <c r="AV215" s="48"/>
      <c r="AW215" s="48"/>
      <c r="AX215" s="47"/>
      <c r="AY215" s="47"/>
      <c r="AZ215" s="48"/>
      <c r="BA215" s="48"/>
      <c r="BB215" s="47"/>
      <c r="BC215" s="47"/>
      <c r="BD215" s="48"/>
      <c r="BE215" s="48"/>
      <c r="BF215" s="47"/>
      <c r="BG215" s="47"/>
      <c r="BH215" s="47"/>
      <c r="BI215" s="48"/>
      <c r="BJ215" s="48"/>
      <c r="BK215" s="49"/>
      <c r="BL215" s="47"/>
      <c r="BM215" s="262"/>
      <c r="BN215" s="262"/>
      <c r="BO215" s="262"/>
      <c r="BP215" s="262"/>
      <c r="BQ215" s="262"/>
      <c r="BR215" s="262"/>
      <c r="BS215" s="262"/>
      <c r="BT215" s="262"/>
      <c r="BU215" s="262"/>
      <c r="BV215" s="262"/>
      <c r="BW215" s="262"/>
      <c r="BX215" s="262"/>
      <c r="BY215" s="262"/>
      <c r="BZ215" s="262"/>
      <c r="CA215" s="262"/>
      <c r="CB215" s="262"/>
      <c r="CC215" s="262"/>
      <c r="CD215" s="262"/>
      <c r="CE215" s="262"/>
    </row>
    <row r="216" spans="1:83" s="2" customFormat="1" x14ac:dyDescent="0.3">
      <c r="A216" s="262"/>
      <c r="B216" s="277"/>
      <c r="C216" s="262"/>
      <c r="D216" s="262"/>
      <c r="E216" s="294"/>
      <c r="F216" s="294"/>
      <c r="G216" s="294"/>
      <c r="H216" s="294"/>
      <c r="I216" s="294"/>
      <c r="J216" s="294"/>
      <c r="K216" s="294"/>
      <c r="L216" s="285"/>
      <c r="M216" s="286"/>
      <c r="N216" s="287"/>
      <c r="O216" s="262"/>
      <c r="P216" s="225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8"/>
      <c r="AD216" s="47"/>
      <c r="AE216" s="47"/>
      <c r="AF216" s="47"/>
      <c r="AG216" s="67"/>
      <c r="AH216" s="67"/>
      <c r="AI216" s="67"/>
      <c r="AJ216" s="47"/>
      <c r="AK216" s="67"/>
      <c r="AL216" s="67"/>
      <c r="AM216" s="67"/>
      <c r="AN216" s="47"/>
      <c r="AO216" s="47"/>
      <c r="AP216" s="47"/>
      <c r="AQ216" s="47"/>
      <c r="AR216" s="47"/>
      <c r="AS216" s="47"/>
      <c r="AT216" s="47"/>
      <c r="AU216" s="47"/>
      <c r="AV216" s="48"/>
      <c r="AW216" s="48"/>
      <c r="AX216" s="47"/>
      <c r="AY216" s="47"/>
      <c r="AZ216" s="48"/>
      <c r="BA216" s="48"/>
      <c r="BB216" s="47"/>
      <c r="BC216" s="47"/>
      <c r="BD216" s="48"/>
      <c r="BE216" s="48"/>
      <c r="BF216" s="47"/>
      <c r="BG216" s="47"/>
      <c r="BH216" s="47"/>
      <c r="BI216" s="48"/>
      <c r="BJ216" s="48"/>
      <c r="BK216" s="49"/>
      <c r="BL216" s="47"/>
      <c r="BM216" s="262"/>
      <c r="BN216" s="262"/>
      <c r="BO216" s="262"/>
      <c r="BP216" s="262"/>
      <c r="BQ216" s="262"/>
      <c r="BR216" s="262"/>
      <c r="BS216" s="262"/>
      <c r="BT216" s="262"/>
      <c r="BU216" s="262"/>
      <c r="BV216" s="262"/>
      <c r="BW216" s="262"/>
      <c r="BX216" s="262"/>
      <c r="BY216" s="262"/>
      <c r="BZ216" s="262"/>
      <c r="CA216" s="262"/>
      <c r="CB216" s="262"/>
      <c r="CC216" s="262"/>
      <c r="CD216" s="262"/>
      <c r="CE216" s="262"/>
    </row>
    <row r="217" spans="1:83" s="2" customFormat="1" x14ac:dyDescent="0.3">
      <c r="A217" s="262"/>
      <c r="B217" s="277"/>
      <c r="C217" s="262"/>
      <c r="D217" s="262"/>
      <c r="E217" s="294"/>
      <c r="F217" s="294"/>
      <c r="G217" s="294"/>
      <c r="H217" s="294"/>
      <c r="I217" s="294"/>
      <c r="J217" s="294"/>
      <c r="K217" s="294"/>
      <c r="L217" s="285"/>
      <c r="M217" s="286"/>
      <c r="N217" s="287"/>
      <c r="O217" s="262"/>
      <c r="P217" s="225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8"/>
      <c r="AD217" s="47"/>
      <c r="AE217" s="47"/>
      <c r="AF217" s="47"/>
      <c r="AG217" s="67"/>
      <c r="AH217" s="67"/>
      <c r="AI217" s="67"/>
      <c r="AJ217" s="47"/>
      <c r="AK217" s="67"/>
      <c r="AL217" s="67"/>
      <c r="AM217" s="67"/>
      <c r="AN217" s="47"/>
      <c r="AO217" s="47"/>
      <c r="AP217" s="47"/>
      <c r="AQ217" s="47"/>
      <c r="AR217" s="47"/>
      <c r="AS217" s="47"/>
      <c r="AT217" s="47"/>
      <c r="AU217" s="47"/>
      <c r="AV217" s="48"/>
      <c r="AW217" s="48"/>
      <c r="AX217" s="47"/>
      <c r="AY217" s="47"/>
      <c r="AZ217" s="48"/>
      <c r="BA217" s="48"/>
      <c r="BB217" s="47"/>
      <c r="BC217" s="47"/>
      <c r="BD217" s="48"/>
      <c r="BE217" s="48"/>
      <c r="BF217" s="47"/>
      <c r="BG217" s="47"/>
      <c r="BH217" s="47"/>
      <c r="BI217" s="48"/>
      <c r="BJ217" s="48"/>
      <c r="BK217" s="49"/>
      <c r="BL217" s="47"/>
      <c r="BM217" s="262"/>
      <c r="BN217" s="262"/>
      <c r="BO217" s="262"/>
      <c r="BP217" s="262"/>
      <c r="BQ217" s="262"/>
      <c r="BR217" s="262"/>
      <c r="BS217" s="262"/>
      <c r="BT217" s="262"/>
      <c r="BU217" s="262"/>
      <c r="BV217" s="262"/>
      <c r="BW217" s="262"/>
      <c r="BX217" s="262"/>
      <c r="BY217" s="262"/>
      <c r="BZ217" s="262"/>
      <c r="CA217" s="262"/>
      <c r="CB217" s="262"/>
      <c r="CC217" s="262"/>
      <c r="CD217" s="262"/>
      <c r="CE217" s="262"/>
    </row>
    <row r="218" spans="1:83" s="2" customFormat="1" x14ac:dyDescent="0.3">
      <c r="A218" s="262"/>
      <c r="B218" s="277"/>
      <c r="C218" s="262"/>
      <c r="D218" s="262"/>
      <c r="E218" s="294"/>
      <c r="F218" s="294"/>
      <c r="G218" s="294"/>
      <c r="H218" s="294"/>
      <c r="I218" s="294"/>
      <c r="J218" s="294"/>
      <c r="K218" s="294"/>
      <c r="L218" s="285"/>
      <c r="M218" s="286"/>
      <c r="N218" s="287"/>
      <c r="O218" s="262"/>
      <c r="P218" s="225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8"/>
      <c r="AD218" s="47"/>
      <c r="AE218" s="47"/>
      <c r="AF218" s="47"/>
      <c r="AG218" s="67"/>
      <c r="AH218" s="67"/>
      <c r="AI218" s="67"/>
      <c r="AJ218" s="47"/>
      <c r="AK218" s="67"/>
      <c r="AL218" s="67"/>
      <c r="AM218" s="67"/>
      <c r="AN218" s="47"/>
      <c r="AO218" s="47"/>
      <c r="AP218" s="47"/>
      <c r="AQ218" s="47"/>
      <c r="AR218" s="47"/>
      <c r="AS218" s="47"/>
      <c r="AT218" s="47"/>
      <c r="AU218" s="47"/>
      <c r="AV218" s="48"/>
      <c r="AW218" s="48"/>
      <c r="AX218" s="47"/>
      <c r="AY218" s="47"/>
      <c r="AZ218" s="48"/>
      <c r="BA218" s="48"/>
      <c r="BB218" s="47"/>
      <c r="BC218" s="47"/>
      <c r="BD218" s="48"/>
      <c r="BE218" s="48"/>
      <c r="BF218" s="47"/>
      <c r="BG218" s="47"/>
      <c r="BH218" s="47"/>
      <c r="BI218" s="48"/>
      <c r="BJ218" s="48"/>
      <c r="BK218" s="49"/>
      <c r="BL218" s="47"/>
      <c r="BM218" s="262"/>
      <c r="BN218" s="262"/>
      <c r="BO218" s="262"/>
      <c r="BP218" s="262"/>
      <c r="BQ218" s="262"/>
      <c r="BR218" s="262"/>
      <c r="BS218" s="262"/>
      <c r="BT218" s="262"/>
      <c r="BU218" s="262"/>
      <c r="BV218" s="262"/>
      <c r="BW218" s="262"/>
      <c r="BX218" s="262"/>
      <c r="BY218" s="262"/>
      <c r="BZ218" s="262"/>
      <c r="CA218" s="262"/>
      <c r="CB218" s="262"/>
      <c r="CC218" s="262"/>
      <c r="CD218" s="262"/>
      <c r="CE218" s="262"/>
    </row>
    <row r="219" spans="1:83" s="2" customFormat="1" x14ac:dyDescent="0.3">
      <c r="A219" s="262"/>
      <c r="B219" s="277"/>
      <c r="C219" s="262"/>
      <c r="D219" s="262"/>
      <c r="E219" s="294"/>
      <c r="F219" s="294"/>
      <c r="G219" s="294"/>
      <c r="H219" s="294"/>
      <c r="I219" s="294"/>
      <c r="J219" s="294"/>
      <c r="K219" s="294"/>
      <c r="L219" s="285"/>
      <c r="M219" s="286"/>
      <c r="N219" s="287"/>
      <c r="O219" s="262"/>
      <c r="P219" s="225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8"/>
      <c r="AD219" s="47"/>
      <c r="AE219" s="47"/>
      <c r="AF219" s="47"/>
      <c r="AG219" s="67"/>
      <c r="AH219" s="67"/>
      <c r="AI219" s="67"/>
      <c r="AJ219" s="47"/>
      <c r="AK219" s="67"/>
      <c r="AL219" s="67"/>
      <c r="AM219" s="67"/>
      <c r="AN219" s="47"/>
      <c r="AO219" s="47"/>
      <c r="AP219" s="47"/>
      <c r="AQ219" s="47"/>
      <c r="AR219" s="47"/>
      <c r="AS219" s="47"/>
      <c r="AT219" s="47"/>
      <c r="AU219" s="47"/>
      <c r="AV219" s="48"/>
      <c r="AW219" s="48"/>
      <c r="AX219" s="47"/>
      <c r="AY219" s="47"/>
      <c r="AZ219" s="48"/>
      <c r="BA219" s="48"/>
      <c r="BB219" s="47"/>
      <c r="BC219" s="47"/>
      <c r="BD219" s="48"/>
      <c r="BE219" s="48"/>
      <c r="BF219" s="47"/>
      <c r="BG219" s="47"/>
      <c r="BH219" s="47"/>
      <c r="BI219" s="48"/>
      <c r="BJ219" s="48"/>
      <c r="BK219" s="49"/>
      <c r="BL219" s="47"/>
      <c r="BM219" s="262"/>
      <c r="BN219" s="262"/>
      <c r="BO219" s="262"/>
      <c r="BP219" s="262"/>
      <c r="BQ219" s="262"/>
      <c r="BR219" s="262"/>
      <c r="BS219" s="262"/>
      <c r="BT219" s="262"/>
      <c r="BU219" s="262"/>
      <c r="BV219" s="262"/>
      <c r="BW219" s="262"/>
      <c r="BX219" s="262"/>
      <c r="BY219" s="262"/>
      <c r="BZ219" s="262"/>
      <c r="CA219" s="262"/>
      <c r="CB219" s="262"/>
      <c r="CC219" s="262"/>
      <c r="CD219" s="262"/>
      <c r="CE219" s="262"/>
    </row>
    <row r="220" spans="1:83" s="2" customFormat="1" x14ac:dyDescent="0.3">
      <c r="A220" s="262"/>
      <c r="B220" s="277"/>
      <c r="C220" s="262"/>
      <c r="D220" s="262"/>
      <c r="E220" s="294"/>
      <c r="F220" s="294"/>
      <c r="G220" s="294"/>
      <c r="H220" s="294"/>
      <c r="I220" s="294"/>
      <c r="J220" s="294"/>
      <c r="K220" s="294"/>
      <c r="L220" s="285"/>
      <c r="M220" s="286"/>
      <c r="N220" s="287"/>
      <c r="O220" s="262"/>
      <c r="P220" s="225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8"/>
      <c r="AD220" s="47"/>
      <c r="AE220" s="47"/>
      <c r="AF220" s="47"/>
      <c r="AG220" s="67"/>
      <c r="AH220" s="67"/>
      <c r="AI220" s="67"/>
      <c r="AJ220" s="47"/>
      <c r="AK220" s="67"/>
      <c r="AL220" s="67"/>
      <c r="AM220" s="67"/>
      <c r="AN220" s="47"/>
      <c r="AO220" s="47"/>
      <c r="AP220" s="47"/>
      <c r="AQ220" s="47"/>
      <c r="AR220" s="47"/>
      <c r="AS220" s="47"/>
      <c r="AT220" s="47"/>
      <c r="AU220" s="47"/>
      <c r="AV220" s="48"/>
      <c r="AW220" s="48"/>
      <c r="AX220" s="47"/>
      <c r="AY220" s="47"/>
      <c r="AZ220" s="48"/>
      <c r="BA220" s="48"/>
      <c r="BB220" s="47"/>
      <c r="BC220" s="47"/>
      <c r="BD220" s="48"/>
      <c r="BE220" s="48"/>
      <c r="BF220" s="47"/>
      <c r="BG220" s="47"/>
      <c r="BH220" s="47"/>
      <c r="BI220" s="48"/>
      <c r="BJ220" s="48"/>
      <c r="BK220" s="49"/>
      <c r="BL220" s="47"/>
      <c r="BM220" s="262"/>
      <c r="BN220" s="262"/>
      <c r="BO220" s="262"/>
      <c r="BP220" s="262"/>
      <c r="BQ220" s="262"/>
      <c r="BR220" s="262"/>
      <c r="BS220" s="262"/>
      <c r="BT220" s="262"/>
      <c r="BU220" s="262"/>
      <c r="BV220" s="262"/>
      <c r="BW220" s="262"/>
      <c r="BX220" s="262"/>
      <c r="BY220" s="262"/>
      <c r="BZ220" s="262"/>
      <c r="CA220" s="262"/>
      <c r="CB220" s="262"/>
      <c r="CC220" s="262"/>
      <c r="CD220" s="262"/>
      <c r="CE220" s="262"/>
    </row>
    <row r="221" spans="1:83" s="2" customFormat="1" x14ac:dyDescent="0.3">
      <c r="A221" s="262"/>
      <c r="B221" s="277"/>
      <c r="C221" s="262"/>
      <c r="D221" s="262"/>
      <c r="E221" s="294"/>
      <c r="F221" s="294"/>
      <c r="G221" s="294"/>
      <c r="H221" s="294"/>
      <c r="I221" s="294"/>
      <c r="J221" s="294"/>
      <c r="K221" s="294"/>
      <c r="L221" s="285"/>
      <c r="M221" s="286"/>
      <c r="N221" s="287"/>
      <c r="O221" s="262"/>
      <c r="P221" s="225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8"/>
      <c r="AD221" s="47"/>
      <c r="AE221" s="47"/>
      <c r="AF221" s="47"/>
      <c r="AG221" s="67"/>
      <c r="AH221" s="67"/>
      <c r="AI221" s="67"/>
      <c r="AJ221" s="47"/>
      <c r="AK221" s="67"/>
      <c r="AL221" s="67"/>
      <c r="AM221" s="67"/>
      <c r="AN221" s="47"/>
      <c r="AO221" s="47"/>
      <c r="AP221" s="47"/>
      <c r="AQ221" s="47"/>
      <c r="AR221" s="47"/>
      <c r="AS221" s="47"/>
      <c r="AT221" s="47"/>
      <c r="AU221" s="47"/>
      <c r="AV221" s="48"/>
      <c r="AW221" s="48"/>
      <c r="AX221" s="47"/>
      <c r="AY221" s="47"/>
      <c r="AZ221" s="48"/>
      <c r="BA221" s="48"/>
      <c r="BB221" s="47"/>
      <c r="BC221" s="47"/>
      <c r="BD221" s="48"/>
      <c r="BE221" s="48"/>
      <c r="BF221" s="47"/>
      <c r="BG221" s="47"/>
      <c r="BH221" s="47"/>
      <c r="BI221" s="48"/>
      <c r="BJ221" s="48"/>
      <c r="BK221" s="49"/>
      <c r="BL221" s="47"/>
      <c r="BM221" s="262"/>
      <c r="BN221" s="262"/>
      <c r="BO221" s="262"/>
      <c r="BP221" s="262"/>
      <c r="BQ221" s="262"/>
      <c r="BR221" s="262"/>
      <c r="BS221" s="262"/>
      <c r="BT221" s="262"/>
      <c r="BU221" s="262"/>
      <c r="BV221" s="262"/>
      <c r="BW221" s="262"/>
      <c r="BX221" s="262"/>
      <c r="BY221" s="262"/>
      <c r="BZ221" s="262"/>
      <c r="CA221" s="262"/>
      <c r="CB221" s="262"/>
      <c r="CC221" s="262"/>
      <c r="CD221" s="262"/>
      <c r="CE221" s="262"/>
    </row>
    <row r="222" spans="1:83" s="2" customFormat="1" x14ac:dyDescent="0.3">
      <c r="A222" s="262"/>
      <c r="B222" s="277"/>
      <c r="C222" s="262"/>
      <c r="D222" s="262"/>
      <c r="E222" s="294"/>
      <c r="F222" s="294"/>
      <c r="G222" s="294"/>
      <c r="H222" s="294"/>
      <c r="I222" s="294"/>
      <c r="J222" s="294"/>
      <c r="K222" s="294"/>
      <c r="L222" s="285"/>
      <c r="M222" s="286"/>
      <c r="N222" s="287"/>
      <c r="O222" s="262"/>
      <c r="P222" s="225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8"/>
      <c r="AD222" s="47"/>
      <c r="AE222" s="47"/>
      <c r="AF222" s="47"/>
      <c r="AG222" s="67"/>
      <c r="AH222" s="67"/>
      <c r="AI222" s="67"/>
      <c r="AJ222" s="47"/>
      <c r="AK222" s="67"/>
      <c r="AL222" s="67"/>
      <c r="AM222" s="67"/>
      <c r="AN222" s="47"/>
      <c r="AO222" s="47"/>
      <c r="AP222" s="47"/>
      <c r="AQ222" s="47"/>
      <c r="AR222" s="47"/>
      <c r="AS222" s="47"/>
      <c r="AT222" s="47"/>
      <c r="AU222" s="47"/>
      <c r="AV222" s="48"/>
      <c r="AW222" s="48"/>
      <c r="AX222" s="47"/>
      <c r="AY222" s="47"/>
      <c r="AZ222" s="48"/>
      <c r="BA222" s="48"/>
      <c r="BB222" s="47"/>
      <c r="BC222" s="47"/>
      <c r="BD222" s="48"/>
      <c r="BE222" s="48"/>
      <c r="BF222" s="47"/>
      <c r="BG222" s="47"/>
      <c r="BH222" s="47"/>
      <c r="BI222" s="48"/>
      <c r="BJ222" s="48"/>
      <c r="BK222" s="49"/>
      <c r="BL222" s="47"/>
      <c r="BM222" s="262"/>
      <c r="BN222" s="262"/>
      <c r="BO222" s="262"/>
      <c r="BP222" s="262"/>
      <c r="BQ222" s="262"/>
      <c r="BR222" s="262"/>
      <c r="BS222" s="262"/>
      <c r="BT222" s="262"/>
      <c r="BU222" s="262"/>
      <c r="BV222" s="262"/>
      <c r="BW222" s="262"/>
      <c r="BX222" s="262"/>
      <c r="BY222" s="262"/>
      <c r="BZ222" s="262"/>
      <c r="CA222" s="262"/>
      <c r="CB222" s="262"/>
      <c r="CC222" s="262"/>
      <c r="CD222" s="262"/>
      <c r="CE222" s="262"/>
    </row>
    <row r="223" spans="1:83" s="2" customFormat="1" x14ac:dyDescent="0.3">
      <c r="A223" s="262"/>
      <c r="B223" s="277"/>
      <c r="C223" s="262"/>
      <c r="D223" s="262"/>
      <c r="E223" s="294"/>
      <c r="F223" s="294"/>
      <c r="G223" s="294"/>
      <c r="H223" s="294"/>
      <c r="I223" s="294"/>
      <c r="J223" s="294"/>
      <c r="K223" s="294"/>
      <c r="L223" s="285"/>
      <c r="M223" s="286"/>
      <c r="N223" s="287"/>
      <c r="O223" s="262"/>
      <c r="P223" s="225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8"/>
      <c r="AD223" s="47"/>
      <c r="AE223" s="47"/>
      <c r="AF223" s="47"/>
      <c r="AG223" s="67"/>
      <c r="AH223" s="67"/>
      <c r="AI223" s="67"/>
      <c r="AJ223" s="47"/>
      <c r="AK223" s="67"/>
      <c r="AL223" s="67"/>
      <c r="AM223" s="67"/>
      <c r="AN223" s="47"/>
      <c r="AO223" s="47"/>
      <c r="AP223" s="47"/>
      <c r="AQ223" s="47"/>
      <c r="AR223" s="47"/>
      <c r="AS223" s="47"/>
      <c r="AT223" s="47"/>
      <c r="AU223" s="47"/>
      <c r="AV223" s="48"/>
      <c r="AW223" s="48"/>
      <c r="AX223" s="47"/>
      <c r="AY223" s="47"/>
      <c r="AZ223" s="48"/>
      <c r="BA223" s="48"/>
      <c r="BB223" s="47"/>
      <c r="BC223" s="47"/>
      <c r="BD223" s="48"/>
      <c r="BE223" s="48"/>
      <c r="BF223" s="47"/>
      <c r="BG223" s="47"/>
      <c r="BH223" s="47"/>
      <c r="BI223" s="48"/>
      <c r="BJ223" s="48"/>
      <c r="BK223" s="49"/>
      <c r="BL223" s="47"/>
      <c r="BM223" s="262"/>
      <c r="BN223" s="262"/>
      <c r="BO223" s="262"/>
      <c r="BP223" s="262"/>
      <c r="BQ223" s="262"/>
      <c r="BR223" s="262"/>
      <c r="BS223" s="262"/>
      <c r="BT223" s="262"/>
      <c r="BU223" s="262"/>
      <c r="BV223" s="262"/>
      <c r="BW223" s="262"/>
      <c r="BX223" s="262"/>
      <c r="BY223" s="262"/>
      <c r="BZ223" s="262"/>
      <c r="CA223" s="262"/>
      <c r="CB223" s="262"/>
      <c r="CC223" s="262"/>
      <c r="CD223" s="262"/>
      <c r="CE223" s="262"/>
    </row>
    <row r="224" spans="1:83" s="2" customFormat="1" x14ac:dyDescent="0.3">
      <c r="A224" s="262"/>
      <c r="B224" s="277"/>
      <c r="C224" s="262"/>
      <c r="D224" s="262"/>
      <c r="E224" s="294"/>
      <c r="F224" s="294"/>
      <c r="G224" s="294"/>
      <c r="H224" s="294"/>
      <c r="I224" s="294"/>
      <c r="J224" s="294"/>
      <c r="K224" s="294"/>
      <c r="L224" s="285"/>
      <c r="M224" s="286"/>
      <c r="N224" s="287"/>
      <c r="O224" s="262"/>
      <c r="P224" s="225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8"/>
      <c r="AD224" s="47"/>
      <c r="AE224" s="47"/>
      <c r="AF224" s="47"/>
      <c r="AG224" s="67"/>
      <c r="AH224" s="67"/>
      <c r="AI224" s="67"/>
      <c r="AJ224" s="47"/>
      <c r="AK224" s="67"/>
      <c r="AL224" s="67"/>
      <c r="AM224" s="67"/>
      <c r="AN224" s="47"/>
      <c r="AO224" s="47"/>
      <c r="AP224" s="47"/>
      <c r="AQ224" s="47"/>
      <c r="AR224" s="47"/>
      <c r="AS224" s="47"/>
      <c r="AT224" s="47"/>
      <c r="AU224" s="47"/>
      <c r="AV224" s="48"/>
      <c r="AW224" s="48"/>
      <c r="AX224" s="47"/>
      <c r="AY224" s="47"/>
      <c r="AZ224" s="48"/>
      <c r="BA224" s="48"/>
      <c r="BB224" s="47"/>
      <c r="BC224" s="47"/>
      <c r="BD224" s="48"/>
      <c r="BE224" s="48"/>
      <c r="BF224" s="47"/>
      <c r="BG224" s="47"/>
      <c r="BH224" s="47"/>
      <c r="BI224" s="48"/>
      <c r="BJ224" s="48"/>
      <c r="BK224" s="49"/>
      <c r="BL224" s="47"/>
      <c r="BM224" s="262"/>
      <c r="BN224" s="262"/>
      <c r="BO224" s="262"/>
      <c r="BP224" s="262"/>
      <c r="BQ224" s="262"/>
      <c r="BR224" s="262"/>
      <c r="BS224" s="262"/>
      <c r="BT224" s="262"/>
      <c r="BU224" s="262"/>
      <c r="BV224" s="262"/>
      <c r="BW224" s="262"/>
      <c r="BX224" s="262"/>
      <c r="BY224" s="262"/>
      <c r="BZ224" s="262"/>
      <c r="CA224" s="262"/>
      <c r="CB224" s="262"/>
      <c r="CC224" s="262"/>
      <c r="CD224" s="262"/>
      <c r="CE224" s="262"/>
    </row>
    <row r="225" spans="1:83" s="2" customFormat="1" x14ac:dyDescent="0.3">
      <c r="A225" s="262"/>
      <c r="B225" s="277"/>
      <c r="C225" s="262"/>
      <c r="D225" s="262"/>
      <c r="E225" s="294"/>
      <c r="F225" s="294"/>
      <c r="G225" s="294"/>
      <c r="H225" s="294"/>
      <c r="I225" s="294"/>
      <c r="J225" s="294"/>
      <c r="K225" s="294"/>
      <c r="L225" s="285"/>
      <c r="M225" s="286"/>
      <c r="N225" s="287"/>
      <c r="O225" s="262"/>
      <c r="P225" s="225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8"/>
      <c r="AD225" s="47"/>
      <c r="AE225" s="47"/>
      <c r="AF225" s="47"/>
      <c r="AG225" s="67"/>
      <c r="AH225" s="67"/>
      <c r="AI225" s="67"/>
      <c r="AJ225" s="47"/>
      <c r="AK225" s="67"/>
      <c r="AL225" s="67"/>
      <c r="AM225" s="67"/>
      <c r="AN225" s="47"/>
      <c r="AO225" s="47"/>
      <c r="AP225" s="47"/>
      <c r="AQ225" s="47"/>
      <c r="AR225" s="47"/>
      <c r="AS225" s="47"/>
      <c r="AT225" s="47"/>
      <c r="AU225" s="47"/>
      <c r="AV225" s="48"/>
      <c r="AW225" s="48"/>
      <c r="AX225" s="47"/>
      <c r="AY225" s="47"/>
      <c r="AZ225" s="48"/>
      <c r="BA225" s="48"/>
      <c r="BB225" s="47"/>
      <c r="BC225" s="47"/>
      <c r="BD225" s="48"/>
      <c r="BE225" s="48"/>
      <c r="BF225" s="47"/>
      <c r="BG225" s="47"/>
      <c r="BH225" s="47"/>
      <c r="BI225" s="48"/>
      <c r="BJ225" s="48"/>
      <c r="BK225" s="49"/>
      <c r="BL225" s="47"/>
      <c r="BM225" s="262"/>
      <c r="BN225" s="262"/>
      <c r="BO225" s="262"/>
      <c r="BP225" s="262"/>
      <c r="BQ225" s="262"/>
      <c r="BR225" s="262"/>
      <c r="BS225" s="262"/>
      <c r="BT225" s="262"/>
      <c r="BU225" s="262"/>
      <c r="BV225" s="262"/>
      <c r="BW225" s="262"/>
      <c r="BX225" s="262"/>
      <c r="BY225" s="262"/>
      <c r="BZ225" s="262"/>
      <c r="CA225" s="262"/>
      <c r="CB225" s="262"/>
      <c r="CC225" s="262"/>
      <c r="CD225" s="262"/>
      <c r="CE225" s="262"/>
    </row>
    <row r="226" spans="1:83" s="2" customFormat="1" x14ac:dyDescent="0.3">
      <c r="A226" s="262"/>
      <c r="B226" s="277"/>
      <c r="C226" s="262"/>
      <c r="D226" s="262"/>
      <c r="E226" s="294"/>
      <c r="F226" s="294"/>
      <c r="G226" s="294"/>
      <c r="H226" s="294"/>
      <c r="I226" s="294"/>
      <c r="J226" s="294"/>
      <c r="K226" s="294"/>
      <c r="L226" s="285"/>
      <c r="M226" s="286"/>
      <c r="N226" s="287"/>
      <c r="O226" s="262"/>
      <c r="P226" s="225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8"/>
      <c r="AD226" s="47"/>
      <c r="AE226" s="47"/>
      <c r="AF226" s="47"/>
      <c r="AG226" s="67"/>
      <c r="AH226" s="67"/>
      <c r="AI226" s="67"/>
      <c r="AJ226" s="47"/>
      <c r="AK226" s="67"/>
      <c r="AL226" s="67"/>
      <c r="AM226" s="67"/>
      <c r="AN226" s="47"/>
      <c r="AO226" s="47"/>
      <c r="AP226" s="47"/>
      <c r="AQ226" s="47"/>
      <c r="AR226" s="47"/>
      <c r="AS226" s="47"/>
      <c r="AT226" s="47"/>
      <c r="AU226" s="47"/>
      <c r="AV226" s="48"/>
      <c r="AW226" s="48"/>
      <c r="AX226" s="47"/>
      <c r="AY226" s="47"/>
      <c r="AZ226" s="48"/>
      <c r="BA226" s="48"/>
      <c r="BB226" s="47"/>
      <c r="BC226" s="47"/>
      <c r="BD226" s="48"/>
      <c r="BE226" s="48"/>
      <c r="BF226" s="47"/>
      <c r="BG226" s="47"/>
      <c r="BH226" s="47"/>
      <c r="BI226" s="48"/>
      <c r="BJ226" s="48"/>
      <c r="BK226" s="49"/>
      <c r="BL226" s="47"/>
      <c r="BM226" s="262"/>
      <c r="BN226" s="262"/>
      <c r="BO226" s="262"/>
      <c r="BP226" s="262"/>
      <c r="BQ226" s="262"/>
      <c r="BR226" s="262"/>
      <c r="BS226" s="262"/>
      <c r="BT226" s="262"/>
      <c r="BU226" s="262"/>
      <c r="BV226" s="262"/>
      <c r="BW226" s="262"/>
      <c r="BX226" s="262"/>
      <c r="BY226" s="262"/>
      <c r="BZ226" s="262"/>
      <c r="CA226" s="262"/>
      <c r="CB226" s="262"/>
      <c r="CC226" s="262"/>
      <c r="CD226" s="262"/>
      <c r="CE226" s="262"/>
    </row>
    <row r="227" spans="1:83" s="2" customFormat="1" x14ac:dyDescent="0.3">
      <c r="A227" s="262"/>
      <c r="B227" s="277"/>
      <c r="C227" s="262"/>
      <c r="D227" s="262"/>
      <c r="E227" s="294"/>
      <c r="F227" s="294"/>
      <c r="G227" s="294"/>
      <c r="H227" s="294"/>
      <c r="I227" s="294"/>
      <c r="J227" s="294"/>
      <c r="K227" s="294"/>
      <c r="L227" s="285"/>
      <c r="M227" s="286"/>
      <c r="N227" s="287"/>
      <c r="O227" s="262"/>
      <c r="P227" s="225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8"/>
      <c r="AD227" s="47"/>
      <c r="AE227" s="47"/>
      <c r="AF227" s="47"/>
      <c r="AG227" s="67"/>
      <c r="AH227" s="67"/>
      <c r="AI227" s="67"/>
      <c r="AJ227" s="47"/>
      <c r="AK227" s="67"/>
      <c r="AL227" s="67"/>
      <c r="AM227" s="67"/>
      <c r="AN227" s="47"/>
      <c r="AO227" s="47"/>
      <c r="AP227" s="47"/>
      <c r="AQ227" s="47"/>
      <c r="AR227" s="47"/>
      <c r="AS227" s="47"/>
      <c r="AT227" s="47"/>
      <c r="AU227" s="47"/>
      <c r="AV227" s="48"/>
      <c r="AW227" s="48"/>
      <c r="AX227" s="47"/>
      <c r="AY227" s="47"/>
      <c r="AZ227" s="48"/>
      <c r="BA227" s="48"/>
      <c r="BB227" s="47"/>
      <c r="BC227" s="47"/>
      <c r="BD227" s="48"/>
      <c r="BE227" s="48"/>
      <c r="BF227" s="47"/>
      <c r="BG227" s="47"/>
      <c r="BH227" s="47"/>
      <c r="BI227" s="48"/>
      <c r="BJ227" s="48"/>
      <c r="BK227" s="49"/>
      <c r="BL227" s="47"/>
      <c r="BM227" s="262"/>
      <c r="BN227" s="262"/>
      <c r="BO227" s="262"/>
      <c r="BP227" s="262"/>
      <c r="BQ227" s="262"/>
      <c r="BR227" s="262"/>
      <c r="BS227" s="262"/>
      <c r="BT227" s="262"/>
      <c r="BU227" s="262"/>
      <c r="BV227" s="262"/>
      <c r="BW227" s="262"/>
      <c r="BX227" s="262"/>
      <c r="BY227" s="262"/>
      <c r="BZ227" s="262"/>
      <c r="CA227" s="262"/>
      <c r="CB227" s="262"/>
      <c r="CC227" s="262"/>
      <c r="CD227" s="262"/>
      <c r="CE227" s="262"/>
    </row>
    <row r="228" spans="1:83" s="2" customFormat="1" x14ac:dyDescent="0.3">
      <c r="A228" s="262"/>
      <c r="B228" s="277"/>
      <c r="C228" s="262"/>
      <c r="D228" s="262"/>
      <c r="E228" s="294"/>
      <c r="F228" s="294"/>
      <c r="G228" s="294"/>
      <c r="H228" s="294"/>
      <c r="I228" s="294"/>
      <c r="J228" s="294"/>
      <c r="K228" s="294"/>
      <c r="L228" s="285"/>
      <c r="M228" s="286"/>
      <c r="N228" s="287"/>
      <c r="O228" s="262"/>
      <c r="P228" s="225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8"/>
      <c r="AD228" s="47"/>
      <c r="AE228" s="47"/>
      <c r="AF228" s="47"/>
      <c r="AG228" s="67"/>
      <c r="AH228" s="67"/>
      <c r="AI228" s="67"/>
      <c r="AJ228" s="47"/>
      <c r="AK228" s="67"/>
      <c r="AL228" s="67"/>
      <c r="AM228" s="67"/>
      <c r="AN228" s="47"/>
      <c r="AO228" s="47"/>
      <c r="AP228" s="47"/>
      <c r="AQ228" s="47"/>
      <c r="AR228" s="47"/>
      <c r="AS228" s="47"/>
      <c r="AT228" s="47"/>
      <c r="AU228" s="47"/>
      <c r="AV228" s="48"/>
      <c r="AW228" s="48"/>
      <c r="AX228" s="47"/>
      <c r="AY228" s="47"/>
      <c r="AZ228" s="48"/>
      <c r="BA228" s="48"/>
      <c r="BB228" s="47"/>
      <c r="BC228" s="47"/>
      <c r="BD228" s="48"/>
      <c r="BE228" s="48"/>
      <c r="BF228" s="47"/>
      <c r="BG228" s="47"/>
      <c r="BH228" s="47"/>
      <c r="BI228" s="48"/>
      <c r="BJ228" s="48"/>
      <c r="BK228" s="49"/>
      <c r="BL228" s="47"/>
      <c r="BM228" s="262"/>
      <c r="BN228" s="262"/>
      <c r="BO228" s="262"/>
      <c r="BP228" s="262"/>
      <c r="BQ228" s="262"/>
      <c r="BR228" s="262"/>
      <c r="BS228" s="262"/>
      <c r="BT228" s="262"/>
      <c r="BU228" s="262"/>
      <c r="BV228" s="262"/>
      <c r="BW228" s="262"/>
      <c r="BX228" s="262"/>
      <c r="BY228" s="262"/>
      <c r="BZ228" s="262"/>
      <c r="CA228" s="262"/>
      <c r="CB228" s="262"/>
      <c r="CC228" s="262"/>
      <c r="CD228" s="262"/>
      <c r="CE228" s="262"/>
    </row>
    <row r="229" spans="1:83" s="2" customFormat="1" x14ac:dyDescent="0.3">
      <c r="A229" s="262"/>
      <c r="B229" s="277"/>
      <c r="C229" s="262"/>
      <c r="D229" s="262"/>
      <c r="E229" s="294"/>
      <c r="F229" s="294"/>
      <c r="G229" s="294"/>
      <c r="H229" s="294"/>
      <c r="I229" s="294"/>
      <c r="J229" s="294"/>
      <c r="K229" s="294"/>
      <c r="L229" s="285"/>
      <c r="M229" s="286"/>
      <c r="N229" s="287"/>
      <c r="O229" s="262"/>
      <c r="P229" s="225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8"/>
      <c r="AD229" s="47"/>
      <c r="AE229" s="47"/>
      <c r="AF229" s="47"/>
      <c r="AG229" s="67"/>
      <c r="AH229" s="67"/>
      <c r="AI229" s="67"/>
      <c r="AJ229" s="47"/>
      <c r="AK229" s="67"/>
      <c r="AL229" s="67"/>
      <c r="AM229" s="67"/>
      <c r="AN229" s="47"/>
      <c r="AO229" s="47"/>
      <c r="AP229" s="47"/>
      <c r="AQ229" s="47"/>
      <c r="AR229" s="47"/>
      <c r="AS229" s="47"/>
      <c r="AT229" s="47"/>
      <c r="AU229" s="47"/>
      <c r="AV229" s="48"/>
      <c r="AW229" s="48"/>
      <c r="AX229" s="47"/>
      <c r="AY229" s="47"/>
      <c r="AZ229" s="48"/>
      <c r="BA229" s="48"/>
      <c r="BB229" s="47"/>
      <c r="BC229" s="47"/>
      <c r="BD229" s="48"/>
      <c r="BE229" s="48"/>
      <c r="BF229" s="47"/>
      <c r="BG229" s="47"/>
      <c r="BH229" s="47"/>
      <c r="BI229" s="48"/>
      <c r="BJ229" s="48"/>
      <c r="BK229" s="49"/>
      <c r="BL229" s="47"/>
      <c r="BM229" s="262"/>
      <c r="BN229" s="262"/>
      <c r="BO229" s="262"/>
      <c r="BP229" s="262"/>
      <c r="BQ229" s="262"/>
      <c r="BR229" s="262"/>
      <c r="BS229" s="262"/>
      <c r="BT229" s="262"/>
      <c r="BU229" s="262"/>
      <c r="BV229" s="262"/>
      <c r="BW229" s="262"/>
      <c r="BX229" s="262"/>
      <c r="BY229" s="262"/>
      <c r="BZ229" s="262"/>
      <c r="CA229" s="262"/>
      <c r="CB229" s="262"/>
      <c r="CC229" s="262"/>
      <c r="CD229" s="262"/>
      <c r="CE229" s="262"/>
    </row>
    <row r="230" spans="1:83" s="2" customFormat="1" x14ac:dyDescent="0.3">
      <c r="A230" s="262"/>
      <c r="B230" s="277"/>
      <c r="C230" s="262"/>
      <c r="D230" s="262"/>
      <c r="E230" s="294"/>
      <c r="F230" s="294"/>
      <c r="G230" s="294"/>
      <c r="H230" s="294"/>
      <c r="I230" s="294"/>
      <c r="J230" s="294"/>
      <c r="K230" s="294"/>
      <c r="L230" s="285"/>
      <c r="M230" s="286"/>
      <c r="N230" s="287"/>
      <c r="O230" s="262"/>
      <c r="P230" s="225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8"/>
      <c r="AD230" s="47"/>
      <c r="AE230" s="47"/>
      <c r="AF230" s="47"/>
      <c r="AG230" s="67"/>
      <c r="AH230" s="67"/>
      <c r="AI230" s="67"/>
      <c r="AJ230" s="47"/>
      <c r="AK230" s="67"/>
      <c r="AL230" s="67"/>
      <c r="AM230" s="67"/>
      <c r="AN230" s="47"/>
      <c r="AO230" s="47"/>
      <c r="AP230" s="47"/>
      <c r="AQ230" s="47"/>
      <c r="AR230" s="47"/>
      <c r="AS230" s="47"/>
      <c r="AT230" s="47"/>
      <c r="AU230" s="47"/>
      <c r="AV230" s="48"/>
      <c r="AW230" s="48"/>
      <c r="AX230" s="47"/>
      <c r="AY230" s="47"/>
      <c r="AZ230" s="48"/>
      <c r="BA230" s="48"/>
      <c r="BB230" s="47"/>
      <c r="BC230" s="47"/>
      <c r="BD230" s="48"/>
      <c r="BE230" s="48"/>
      <c r="BF230" s="47"/>
      <c r="BG230" s="47"/>
      <c r="BH230" s="47"/>
      <c r="BI230" s="48"/>
      <c r="BJ230" s="48"/>
      <c r="BK230" s="49"/>
      <c r="BL230" s="47"/>
      <c r="BM230" s="262"/>
      <c r="BN230" s="262"/>
      <c r="BO230" s="262"/>
      <c r="BP230" s="262"/>
      <c r="BQ230" s="262"/>
      <c r="BR230" s="262"/>
      <c r="BS230" s="262"/>
      <c r="BT230" s="262"/>
      <c r="BU230" s="262"/>
      <c r="BV230" s="262"/>
      <c r="BW230" s="262"/>
      <c r="BX230" s="262"/>
      <c r="BY230" s="262"/>
      <c r="BZ230" s="262"/>
      <c r="CA230" s="262"/>
      <c r="CB230" s="262"/>
      <c r="CC230" s="262"/>
      <c r="CD230" s="262"/>
      <c r="CE230" s="262"/>
    </row>
    <row r="231" spans="1:83" s="2" customFormat="1" x14ac:dyDescent="0.3">
      <c r="A231" s="262"/>
      <c r="B231" s="277"/>
      <c r="C231" s="262"/>
      <c r="D231" s="262"/>
      <c r="E231" s="294"/>
      <c r="F231" s="294"/>
      <c r="G231" s="294"/>
      <c r="H231" s="294"/>
      <c r="I231" s="294"/>
      <c r="J231" s="294"/>
      <c r="K231" s="294"/>
      <c r="L231" s="285"/>
      <c r="M231" s="286"/>
      <c r="N231" s="287"/>
      <c r="O231" s="262"/>
      <c r="P231" s="225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8"/>
      <c r="AD231" s="47"/>
      <c r="AE231" s="47"/>
      <c r="AF231" s="47"/>
      <c r="AG231" s="67"/>
      <c r="AH231" s="67"/>
      <c r="AI231" s="67"/>
      <c r="AJ231" s="47"/>
      <c r="AK231" s="67"/>
      <c r="AL231" s="67"/>
      <c r="AM231" s="67"/>
      <c r="AN231" s="47"/>
      <c r="AO231" s="47"/>
      <c r="AP231" s="47"/>
      <c r="AQ231" s="47"/>
      <c r="AR231" s="47"/>
      <c r="AS231" s="47"/>
      <c r="AT231" s="47"/>
      <c r="AU231" s="47"/>
      <c r="AV231" s="48"/>
      <c r="AW231" s="48"/>
      <c r="AX231" s="47"/>
      <c r="AY231" s="47"/>
      <c r="AZ231" s="48"/>
      <c r="BA231" s="48"/>
      <c r="BB231" s="47"/>
      <c r="BC231" s="47"/>
      <c r="BD231" s="48"/>
      <c r="BE231" s="48"/>
      <c r="BF231" s="47"/>
      <c r="BG231" s="47"/>
      <c r="BH231" s="47"/>
      <c r="BI231" s="48"/>
      <c r="BJ231" s="48"/>
      <c r="BK231" s="49"/>
      <c r="BL231" s="47"/>
      <c r="BM231" s="262"/>
      <c r="BN231" s="262"/>
      <c r="BO231" s="262"/>
      <c r="BP231" s="262"/>
      <c r="BQ231" s="262"/>
      <c r="BR231" s="262"/>
      <c r="BS231" s="262"/>
      <c r="BT231" s="262"/>
      <c r="BU231" s="262"/>
      <c r="BV231" s="262"/>
      <c r="BW231" s="262"/>
      <c r="BX231" s="262"/>
      <c r="BY231" s="262"/>
      <c r="BZ231" s="262"/>
      <c r="CA231" s="262"/>
      <c r="CB231" s="262"/>
      <c r="CC231" s="262"/>
      <c r="CD231" s="262"/>
      <c r="CE231" s="262"/>
    </row>
    <row r="232" spans="1:83" s="2" customFormat="1" x14ac:dyDescent="0.3">
      <c r="A232" s="262"/>
      <c r="B232" s="277"/>
      <c r="C232" s="262"/>
      <c r="D232" s="262"/>
      <c r="E232" s="294"/>
      <c r="F232" s="294"/>
      <c r="G232" s="294"/>
      <c r="H232" s="294"/>
      <c r="I232" s="294"/>
      <c r="J232" s="294"/>
      <c r="K232" s="294"/>
      <c r="L232" s="285"/>
      <c r="M232" s="286"/>
      <c r="N232" s="287"/>
      <c r="O232" s="262"/>
      <c r="P232" s="225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8"/>
      <c r="AD232" s="47"/>
      <c r="AE232" s="47"/>
      <c r="AF232" s="47"/>
      <c r="AG232" s="67"/>
      <c r="AH232" s="67"/>
      <c r="AI232" s="67"/>
      <c r="AJ232" s="47"/>
      <c r="AK232" s="67"/>
      <c r="AL232" s="67"/>
      <c r="AM232" s="67"/>
      <c r="AN232" s="47"/>
      <c r="AO232" s="47"/>
      <c r="AP232" s="47"/>
      <c r="AQ232" s="47"/>
      <c r="AR232" s="47"/>
      <c r="AS232" s="47"/>
      <c r="AT232" s="47"/>
      <c r="AU232" s="47"/>
      <c r="AV232" s="48"/>
      <c r="AW232" s="48"/>
      <c r="AX232" s="47"/>
      <c r="AY232" s="47"/>
      <c r="AZ232" s="48"/>
      <c r="BA232" s="48"/>
      <c r="BB232" s="47"/>
      <c r="BC232" s="47"/>
      <c r="BD232" s="48"/>
      <c r="BE232" s="48"/>
      <c r="BF232" s="47"/>
      <c r="BG232" s="47"/>
      <c r="BH232" s="47"/>
      <c r="BI232" s="48"/>
      <c r="BJ232" s="48"/>
      <c r="BK232" s="49"/>
      <c r="BL232" s="47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</row>
    <row r="233" spans="1:83" s="2" customFormat="1" x14ac:dyDescent="0.3">
      <c r="A233" s="262"/>
      <c r="B233" s="277"/>
      <c r="C233" s="262"/>
      <c r="D233" s="262"/>
      <c r="E233" s="294"/>
      <c r="F233" s="294"/>
      <c r="G233" s="294"/>
      <c r="H233" s="294"/>
      <c r="I233" s="294"/>
      <c r="J233" s="294"/>
      <c r="K233" s="294"/>
      <c r="L233" s="285"/>
      <c r="M233" s="286"/>
      <c r="N233" s="287"/>
      <c r="O233" s="262"/>
      <c r="P233" s="225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8"/>
      <c r="AD233" s="47"/>
      <c r="AE233" s="47"/>
      <c r="AF233" s="47"/>
      <c r="AG233" s="67"/>
      <c r="AH233" s="67"/>
      <c r="AI233" s="67"/>
      <c r="AJ233" s="47"/>
      <c r="AK233" s="67"/>
      <c r="AL233" s="67"/>
      <c r="AM233" s="67"/>
      <c r="AN233" s="47"/>
      <c r="AO233" s="47"/>
      <c r="AP233" s="47"/>
      <c r="AQ233" s="47"/>
      <c r="AR233" s="47"/>
      <c r="AS233" s="47"/>
      <c r="AT233" s="47"/>
      <c r="AU233" s="47"/>
      <c r="AV233" s="48"/>
      <c r="AW233" s="48"/>
      <c r="AX233" s="47"/>
      <c r="AY233" s="47"/>
      <c r="AZ233" s="48"/>
      <c r="BA233" s="48"/>
      <c r="BB233" s="47"/>
      <c r="BC233" s="47"/>
      <c r="BD233" s="48"/>
      <c r="BE233" s="48"/>
      <c r="BF233" s="47"/>
      <c r="BG233" s="47"/>
      <c r="BH233" s="47"/>
      <c r="BI233" s="48"/>
      <c r="BJ233" s="48"/>
      <c r="BK233" s="49"/>
      <c r="BL233" s="47"/>
      <c r="BM233" s="262"/>
      <c r="BN233" s="262"/>
      <c r="BO233" s="262"/>
      <c r="BP233" s="262"/>
      <c r="BQ233" s="262"/>
      <c r="BR233" s="262"/>
      <c r="BS233" s="262"/>
      <c r="BT233" s="262"/>
      <c r="BU233" s="262"/>
      <c r="BV233" s="262"/>
      <c r="BW233" s="262"/>
      <c r="BX233" s="262"/>
      <c r="BY233" s="262"/>
      <c r="BZ233" s="262"/>
      <c r="CA233" s="262"/>
      <c r="CB233" s="262"/>
      <c r="CC233" s="262"/>
      <c r="CD233" s="262"/>
      <c r="CE233" s="262"/>
    </row>
    <row r="234" spans="1:83" s="2" customFormat="1" x14ac:dyDescent="0.3">
      <c r="A234" s="262"/>
      <c r="B234" s="277"/>
      <c r="C234" s="262"/>
      <c r="D234" s="262"/>
      <c r="E234" s="294"/>
      <c r="F234" s="294"/>
      <c r="G234" s="294"/>
      <c r="H234" s="294"/>
      <c r="I234" s="294"/>
      <c r="J234" s="294"/>
      <c r="K234" s="294"/>
      <c r="L234" s="285"/>
      <c r="M234" s="286"/>
      <c r="N234" s="287"/>
      <c r="O234" s="262"/>
      <c r="P234" s="225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8"/>
      <c r="AD234" s="47"/>
      <c r="AE234" s="47"/>
      <c r="AF234" s="47"/>
      <c r="AG234" s="67"/>
      <c r="AH234" s="67"/>
      <c r="AI234" s="67"/>
      <c r="AJ234" s="47"/>
      <c r="AK234" s="67"/>
      <c r="AL234" s="67"/>
      <c r="AM234" s="67"/>
      <c r="AN234" s="47"/>
      <c r="AO234" s="47"/>
      <c r="AP234" s="47"/>
      <c r="AQ234" s="47"/>
      <c r="AR234" s="47"/>
      <c r="AS234" s="47"/>
      <c r="AT234" s="47"/>
      <c r="AU234" s="47"/>
      <c r="AV234" s="48"/>
      <c r="AW234" s="48"/>
      <c r="AX234" s="47"/>
      <c r="AY234" s="47"/>
      <c r="AZ234" s="48"/>
      <c r="BA234" s="48"/>
      <c r="BB234" s="47"/>
      <c r="BC234" s="47"/>
      <c r="BD234" s="48"/>
      <c r="BE234" s="48"/>
      <c r="BF234" s="47"/>
      <c r="BG234" s="47"/>
      <c r="BH234" s="47"/>
      <c r="BI234" s="48"/>
      <c r="BJ234" s="48"/>
      <c r="BK234" s="49"/>
      <c r="BL234" s="47"/>
      <c r="BM234" s="262"/>
      <c r="BN234" s="262"/>
      <c r="BO234" s="262"/>
      <c r="BP234" s="262"/>
      <c r="BQ234" s="262"/>
      <c r="BR234" s="262"/>
      <c r="BS234" s="262"/>
      <c r="BT234" s="262"/>
      <c r="BU234" s="262"/>
      <c r="BV234" s="262"/>
      <c r="BW234" s="262"/>
      <c r="BX234" s="262"/>
      <c r="BY234" s="262"/>
      <c r="BZ234" s="262"/>
      <c r="CA234" s="262"/>
      <c r="CB234" s="262"/>
      <c r="CC234" s="262"/>
      <c r="CD234" s="262"/>
      <c r="CE234" s="262"/>
    </row>
    <row r="235" spans="1:83" s="2" customFormat="1" x14ac:dyDescent="0.3">
      <c r="A235" s="262"/>
      <c r="B235" s="277"/>
      <c r="C235" s="262"/>
      <c r="D235" s="262"/>
      <c r="E235" s="294"/>
      <c r="F235" s="294"/>
      <c r="G235" s="294"/>
      <c r="H235" s="294"/>
      <c r="I235" s="294"/>
      <c r="J235" s="294"/>
      <c r="K235" s="294"/>
      <c r="L235" s="285"/>
      <c r="M235" s="286"/>
      <c r="N235" s="287"/>
      <c r="O235" s="262"/>
      <c r="P235" s="225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8"/>
      <c r="AD235" s="47"/>
      <c r="AE235" s="47"/>
      <c r="AF235" s="47"/>
      <c r="AG235" s="67"/>
      <c r="AH235" s="67"/>
      <c r="AI235" s="67"/>
      <c r="AJ235" s="47"/>
      <c r="AK235" s="67"/>
      <c r="AL235" s="67"/>
      <c r="AM235" s="67"/>
      <c r="AN235" s="47"/>
      <c r="AO235" s="47"/>
      <c r="AP235" s="47"/>
      <c r="AQ235" s="47"/>
      <c r="AR235" s="47"/>
      <c r="AS235" s="47"/>
      <c r="AT235" s="47"/>
      <c r="AU235" s="47"/>
      <c r="AV235" s="48"/>
      <c r="AW235" s="48"/>
      <c r="AX235" s="47"/>
      <c r="AY235" s="47"/>
      <c r="AZ235" s="48"/>
      <c r="BA235" s="48"/>
      <c r="BB235" s="47"/>
      <c r="BC235" s="47"/>
      <c r="BD235" s="48"/>
      <c r="BE235" s="48"/>
      <c r="BF235" s="47"/>
      <c r="BG235" s="47"/>
      <c r="BH235" s="47"/>
      <c r="BI235" s="48"/>
      <c r="BJ235" s="48"/>
      <c r="BK235" s="49"/>
      <c r="BL235" s="47"/>
      <c r="BM235" s="262"/>
      <c r="BN235" s="262"/>
      <c r="BO235" s="262"/>
      <c r="BP235" s="262"/>
      <c r="BQ235" s="262"/>
      <c r="BR235" s="262"/>
      <c r="BS235" s="262"/>
      <c r="BT235" s="262"/>
      <c r="BU235" s="262"/>
      <c r="BV235" s="262"/>
      <c r="BW235" s="262"/>
      <c r="BX235" s="262"/>
      <c r="BY235" s="262"/>
      <c r="BZ235" s="262"/>
      <c r="CA235" s="262"/>
      <c r="CB235" s="262"/>
      <c r="CC235" s="262"/>
      <c r="CD235" s="262"/>
      <c r="CE235" s="262"/>
    </row>
    <row r="236" spans="1:83" s="2" customFormat="1" x14ac:dyDescent="0.3">
      <c r="A236" s="262"/>
      <c r="B236" s="277"/>
      <c r="C236" s="262"/>
      <c r="D236" s="262"/>
      <c r="E236" s="294"/>
      <c r="F236" s="294"/>
      <c r="G236" s="294"/>
      <c r="H236" s="294"/>
      <c r="I236" s="294"/>
      <c r="J236" s="294"/>
      <c r="K236" s="294"/>
      <c r="L236" s="285"/>
      <c r="M236" s="286"/>
      <c r="N236" s="287"/>
      <c r="O236" s="262"/>
      <c r="P236" s="225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8"/>
      <c r="AD236" s="47"/>
      <c r="AE236" s="47"/>
      <c r="AF236" s="47"/>
      <c r="AG236" s="67"/>
      <c r="AH236" s="67"/>
      <c r="AI236" s="67"/>
      <c r="AJ236" s="47"/>
      <c r="AK236" s="67"/>
      <c r="AL236" s="67"/>
      <c r="AM236" s="67"/>
      <c r="AN236" s="47"/>
      <c r="AO236" s="47"/>
      <c r="AP236" s="47"/>
      <c r="AQ236" s="47"/>
      <c r="AR236" s="47"/>
      <c r="AS236" s="47"/>
      <c r="AT236" s="47"/>
      <c r="AU236" s="47"/>
      <c r="AV236" s="48"/>
      <c r="AW236" s="48"/>
      <c r="AX236" s="47"/>
      <c r="AY236" s="47"/>
      <c r="AZ236" s="48"/>
      <c r="BA236" s="48"/>
      <c r="BB236" s="47"/>
      <c r="BC236" s="47"/>
      <c r="BD236" s="48"/>
      <c r="BE236" s="48"/>
      <c r="BF236" s="47"/>
      <c r="BG236" s="47"/>
      <c r="BH236" s="47"/>
      <c r="BI236" s="48"/>
      <c r="BJ236" s="48"/>
      <c r="BK236" s="49"/>
      <c r="BL236" s="47"/>
      <c r="BM236" s="262"/>
      <c r="BN236" s="262"/>
      <c r="BO236" s="262"/>
      <c r="BP236" s="262"/>
      <c r="BQ236" s="262"/>
      <c r="BR236" s="262"/>
      <c r="BS236" s="262"/>
      <c r="BT236" s="262"/>
      <c r="BU236" s="262"/>
      <c r="BV236" s="262"/>
      <c r="BW236" s="262"/>
      <c r="BX236" s="262"/>
      <c r="BY236" s="262"/>
      <c r="BZ236" s="262"/>
      <c r="CA236" s="262"/>
      <c r="CB236" s="262"/>
      <c r="CC236" s="262"/>
      <c r="CD236" s="262"/>
      <c r="CE236" s="262"/>
    </row>
    <row r="237" spans="1:83" x14ac:dyDescent="0.3">
      <c r="B237" s="277"/>
      <c r="C237" s="262"/>
      <c r="D237" s="262"/>
      <c r="E237" s="294"/>
      <c r="F237" s="294"/>
      <c r="G237" s="294"/>
      <c r="H237" s="294"/>
      <c r="I237" s="294"/>
      <c r="J237" s="294"/>
      <c r="K237" s="294"/>
      <c r="L237" s="285"/>
      <c r="M237" s="286"/>
      <c r="N237" s="287"/>
      <c r="O237" s="262"/>
    </row>
  </sheetData>
  <sheetProtection algorithmName="SHA-512" hashValue="GRrMIMC4obvfBpNpsxtg54VS0QilG2aqNQvQrxlKn/KktNl4M3V2HSfgm+GsjOvRxkzM3EfAX8THbhTGf7/vJg==" saltValue="eivr1sQaRmbIar2Jixi4cw==" spinCount="100000" sheet="1" objects="1" scenarios="1"/>
  <protectedRanges>
    <protectedRange sqref="B105 B117:B134 B74:B96" name="Auswahlfelder"/>
  </protectedRanges>
  <mergeCells count="28">
    <mergeCell ref="AT192:AW192"/>
    <mergeCell ref="AX192:BA192"/>
    <mergeCell ref="BB192:BE192"/>
    <mergeCell ref="BF192:BJ192"/>
    <mergeCell ref="BK192:BL192"/>
    <mergeCell ref="E8:K8"/>
    <mergeCell ref="E9:K9"/>
    <mergeCell ref="L6:O6"/>
    <mergeCell ref="C5:D5"/>
    <mergeCell ref="C6:D6"/>
    <mergeCell ref="C7:D7"/>
    <mergeCell ref="L5:O5"/>
    <mergeCell ref="E5:K5"/>
    <mergeCell ref="E6:K6"/>
    <mergeCell ref="E7:K7"/>
    <mergeCell ref="BK166:BL166"/>
    <mergeCell ref="AT166:AW166"/>
    <mergeCell ref="E11:E12"/>
    <mergeCell ref="B159:B160"/>
    <mergeCell ref="E159:K159"/>
    <mergeCell ref="B162:B164"/>
    <mergeCell ref="BB166:BE166"/>
    <mergeCell ref="AX166:BA166"/>
    <mergeCell ref="BF166:BJ166"/>
    <mergeCell ref="AF166:AI166"/>
    <mergeCell ref="AJ166:AM166"/>
    <mergeCell ref="Y166:Z166"/>
    <mergeCell ref="AP166:AS166"/>
  </mergeCells>
  <phoneticPr fontId="5" type="noConversion"/>
  <conditionalFormatting sqref="E164:K164">
    <cfRule type="colorScale" priority="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70:AB190">
    <cfRule type="colorScale" priority="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3:F157 K156 J155:K155 I154:K154 E152:E157 H153:K153 G154 G155:H155 G156:I156 G157:J157 G152:K152">
    <cfRule type="cellIs" dxfId="44" priority="72" operator="greaterThan">
      <formula>0</formula>
    </cfRule>
  </conditionalFormatting>
  <conditionalFormatting sqref="E102:K102 E105:K105 E74:K74 E137:K141 E117:K131 E76:K93 E133:K133 E110:K112 E143:K148 E114:K114 E150:K150 E95:K97">
    <cfRule type="expression" dxfId="43" priority="752">
      <formula>AND($B74="x",E74="")</formula>
    </cfRule>
    <cfRule type="expression" dxfId="42" priority="765">
      <formula>AND($B74="x",E74="µ")</formula>
    </cfRule>
  </conditionalFormatting>
  <conditionalFormatting sqref="E151:K151">
    <cfRule type="top10" dxfId="41" priority="767" bottom="1" rank="1"/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60:K160">
    <cfRule type="colorScale" priority="78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40" priority="790" operator="lessThan">
      <formula>0</formula>
    </cfRule>
  </conditionalFormatting>
  <conditionalFormatting sqref="E99:K99">
    <cfRule type="expression" dxfId="39" priority="68">
      <formula>AND($B99="x",E99="")</formula>
    </cfRule>
    <cfRule type="expression" dxfId="38" priority="69">
      <formula>AND($B99="x",E99="µ")</formula>
    </cfRule>
  </conditionalFormatting>
  <conditionalFormatting sqref="E103:K103">
    <cfRule type="expression" dxfId="37" priority="64">
      <formula>AND($B103="x",E103="")</formula>
    </cfRule>
    <cfRule type="expression" dxfId="36" priority="65">
      <formula>AND($B103="x",E103="µ")</formula>
    </cfRule>
  </conditionalFormatting>
  <conditionalFormatting sqref="E108:K108">
    <cfRule type="expression" dxfId="35" priority="60">
      <formula>AND($B108="x",E108="")</formula>
    </cfRule>
    <cfRule type="expression" dxfId="34" priority="61">
      <formula>AND($B108="x",E108="µ")</formula>
    </cfRule>
  </conditionalFormatting>
  <conditionalFormatting sqref="E100:K100">
    <cfRule type="expression" dxfId="33" priority="58">
      <formula>AND($B100="x",E100="")</formula>
    </cfRule>
    <cfRule type="expression" dxfId="32" priority="59">
      <formula>AND($B100="x",E100="µ")</formula>
    </cfRule>
  </conditionalFormatting>
  <conditionalFormatting sqref="E98:K98">
    <cfRule type="expression" dxfId="31" priority="54">
      <formula>AND($B98="x",E98="")</formula>
    </cfRule>
    <cfRule type="expression" dxfId="30" priority="55">
      <formula>AND($B98="x",E98="µ")</formula>
    </cfRule>
  </conditionalFormatting>
  <conditionalFormatting sqref="E109:K109">
    <cfRule type="expression" dxfId="29" priority="50">
      <formula>AND($B109="x",E109="")</formula>
    </cfRule>
    <cfRule type="expression" dxfId="28" priority="51">
      <formula>AND($B109="x",E109="µ")</formula>
    </cfRule>
  </conditionalFormatting>
  <conditionalFormatting sqref="E104:K104">
    <cfRule type="expression" dxfId="27" priority="46">
      <formula>AND($B104="x",E104="")</formula>
    </cfRule>
    <cfRule type="expression" dxfId="26" priority="47">
      <formula>AND($B104="x",E104="µ")</formula>
    </cfRule>
  </conditionalFormatting>
  <conditionalFormatting sqref="E106:K106">
    <cfRule type="expression" dxfId="25" priority="44">
      <formula>AND($B106="x",E106="")</formula>
    </cfRule>
    <cfRule type="expression" dxfId="24" priority="45">
      <formula>AND($B106="x",E106="µ")</formula>
    </cfRule>
  </conditionalFormatting>
  <conditionalFormatting sqref="E136:K136">
    <cfRule type="expression" dxfId="23" priority="42">
      <formula>AND($B136="x",E136="")</formula>
    </cfRule>
    <cfRule type="expression" dxfId="22" priority="43">
      <formula>AND($B136="x",E136="µ")</formula>
    </cfRule>
  </conditionalFormatting>
  <conditionalFormatting sqref="E75:K75">
    <cfRule type="expression" dxfId="21" priority="35">
      <formula>AND($B75="x",E75="")</formula>
    </cfRule>
    <cfRule type="expression" dxfId="20" priority="36">
      <formula>AND($B75="x",E75="µ")</formula>
    </cfRule>
  </conditionalFormatting>
  <conditionalFormatting sqref="E135:K135">
    <cfRule type="expression" dxfId="19" priority="33">
      <formula>AND($B135="x",E135="")</formula>
    </cfRule>
    <cfRule type="expression" dxfId="18" priority="34">
      <formula>AND($B135="x",E135="µ")</formula>
    </cfRule>
  </conditionalFormatting>
  <conditionalFormatting sqref="G16:G36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:H3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:I3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4:K134">
    <cfRule type="expression" dxfId="17" priority="25">
      <formula>AND($B134="x",E134="")</formula>
    </cfRule>
    <cfRule type="expression" dxfId="16" priority="26">
      <formula>AND($B134="x",E134="µ")</formula>
    </cfRule>
  </conditionalFormatting>
  <conditionalFormatting sqref="E132:K132">
    <cfRule type="expression" dxfId="15" priority="19">
      <formula>AND($B132="x",E132="")</formula>
    </cfRule>
    <cfRule type="expression" dxfId="14" priority="20">
      <formula>AND($B132="x",E132="µ")</formula>
    </cfRule>
  </conditionalFormatting>
  <conditionalFormatting sqref="E101:K101">
    <cfRule type="expression" dxfId="13" priority="17">
      <formula>AND($B101="x",E101="")</formula>
    </cfRule>
    <cfRule type="expression" dxfId="12" priority="18">
      <formula>AND($B101="x",E101="µ")</formula>
    </cfRule>
  </conditionalFormatting>
  <conditionalFormatting sqref="E142:K142">
    <cfRule type="expression" dxfId="11" priority="11">
      <formula>AND($B142="x",E142="")</formula>
    </cfRule>
    <cfRule type="expression" dxfId="10" priority="12">
      <formula>AND($B142="x",E142="µ")</formula>
    </cfRule>
  </conditionalFormatting>
  <conditionalFormatting sqref="E107:K107">
    <cfRule type="expression" dxfId="9" priority="9">
      <formula>AND($B107="x",E107="")</formula>
    </cfRule>
    <cfRule type="expression" dxfId="8" priority="10">
      <formula>AND($B107="x",E107="µ")</formula>
    </cfRule>
  </conditionalFormatting>
  <conditionalFormatting sqref="E113:K113">
    <cfRule type="expression" dxfId="7" priority="7">
      <formula>AND($B113="x",E113="")</formula>
    </cfRule>
    <cfRule type="expression" dxfId="6" priority="8">
      <formula>AND($B113="x",E113="µ")</formula>
    </cfRule>
  </conditionalFormatting>
  <conditionalFormatting sqref="E149 I149:K149">
    <cfRule type="expression" dxfId="5" priority="5">
      <formula>AND($B149="x",E149="")</formula>
    </cfRule>
    <cfRule type="expression" dxfId="4" priority="6">
      <formula>AND($B149="x",E149="µ")</formula>
    </cfRule>
  </conditionalFormatting>
  <conditionalFormatting sqref="F149:H149">
    <cfRule type="expression" dxfId="3" priority="3">
      <formula>AND($B149="x",F149="")</formula>
    </cfRule>
    <cfRule type="expression" dxfId="2" priority="4">
      <formula>AND($B149="x",F149="µ")</formula>
    </cfRule>
  </conditionalFormatting>
  <conditionalFormatting sqref="E94:K94">
    <cfRule type="expression" dxfId="1" priority="1">
      <formula>AND($B94="x",E94="")</formula>
    </cfRule>
    <cfRule type="expression" dxfId="0" priority="2">
      <formula>AND($B94="x",E94="µ")</formula>
    </cfRule>
  </conditionalFormatting>
  <dataValidations count="1">
    <dataValidation type="list" allowBlank="1" showInputMessage="1" showErrorMessage="1" sqref="B117:B150 B74:B114" xr:uid="{D30EEA0A-86A0-48D5-A10D-3ABC9F2C4A3A}">
      <formula1>$B$202:$B$203</formula1>
    </dataValidation>
  </dataValidations>
  <hyperlinks>
    <hyperlink ref="L6" r:id="rId1" xr:uid="{F6FD11AA-304E-4AFD-B624-56EDA608C84C}"/>
    <hyperlink ref="E7" r:id="rId2" xr:uid="{258F6FF8-9B4F-4F08-9226-7DB580773B75}"/>
    <hyperlink ref="L6:O6" r:id="rId3" display="https://hinterdemauge.blogspot.com" xr:uid="{A6529F6F-A76C-406F-95FB-95A6C338D1A1}"/>
  </hyperlinks>
  <pageMargins left="0.15748031496062992" right="7.874015748031496E-2" top="0.55000000000000004" bottom="0.13" header="0.31496062992125984" footer="0.09"/>
  <pageSetup paperSize="9" scale="50" fitToHeight="0" orientation="landscape" r:id="rId4"/>
  <rowBreaks count="2" manualBreakCount="2">
    <brk id="115" max="14" man="1"/>
    <brk id="157" max="14" man="1"/>
  </rowBreaks>
  <drawing r:id="rId5"/>
  <legacyDrawing r:id="rId6"/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6489-48CB-4CB3-A14C-D94BAC65D341}">
  <dimension ref="B1:AW49"/>
  <sheetViews>
    <sheetView showGridLines="0" workbookViewId="0">
      <pane xSplit="2" ySplit="2" topLeftCell="U3" activePane="bottomRight" state="frozen"/>
      <selection pane="topRight" activeCell="C1" sqref="C1"/>
      <selection pane="bottomLeft" activeCell="A3" sqref="A3"/>
      <selection pane="bottomRight" activeCell="AK32" sqref="AK32"/>
    </sheetView>
  </sheetViews>
  <sheetFormatPr baseColWidth="10" defaultRowHeight="15" x14ac:dyDescent="0.25"/>
  <cols>
    <col min="3" max="3" width="14.7109375" style="3" customWidth="1"/>
    <col min="4" max="4" width="19.5703125" style="3" customWidth="1"/>
    <col min="5" max="5" width="13.140625" style="4" customWidth="1"/>
    <col min="6" max="6" width="18" style="4" customWidth="1"/>
    <col min="7" max="7" width="15.140625" style="4" customWidth="1"/>
    <col min="8" max="12" width="20" style="4" customWidth="1"/>
    <col min="13" max="14" width="11" style="4" customWidth="1"/>
    <col min="15" max="26" width="11.42578125" style="21"/>
    <col min="36" max="36" width="11.42578125" style="5"/>
    <col min="37" max="37" width="11.42578125" style="6"/>
    <col min="38" max="38" width="11.42578125" style="5"/>
    <col min="39" max="39" width="11.42578125" style="6"/>
    <col min="40" max="40" width="11.42578125" style="19"/>
    <col min="41" max="41" width="11.42578125" style="22"/>
    <col min="42" max="42" width="11.42578125" style="5"/>
    <col min="43" max="43" width="11.42578125" style="6"/>
    <col min="44" max="44" width="11.42578125" style="5"/>
    <col min="45" max="45" width="11.42578125" style="6"/>
    <col min="46" max="46" width="5.28515625" bestFit="1" customWidth="1"/>
    <col min="47" max="48" width="4.5703125" bestFit="1" customWidth="1"/>
  </cols>
  <sheetData>
    <row r="1" spans="2:48" x14ac:dyDescent="0.25">
      <c r="C1" s="3" t="s">
        <v>61</v>
      </c>
      <c r="D1" s="3" t="s">
        <v>61</v>
      </c>
      <c r="E1" s="4" t="s">
        <v>62</v>
      </c>
      <c r="F1" s="4" t="s">
        <v>62</v>
      </c>
      <c r="G1" s="4" t="s">
        <v>62</v>
      </c>
      <c r="H1" s="4" t="s">
        <v>62</v>
      </c>
      <c r="I1" s="4" t="s">
        <v>62</v>
      </c>
      <c r="J1" s="4" t="s">
        <v>62</v>
      </c>
      <c r="K1" s="4" t="s">
        <v>62</v>
      </c>
      <c r="L1" s="4" t="s">
        <v>62</v>
      </c>
      <c r="M1" s="4" t="s">
        <v>62</v>
      </c>
      <c r="N1" s="4" t="s">
        <v>62</v>
      </c>
      <c r="O1" s="3" t="s">
        <v>61</v>
      </c>
      <c r="P1" s="3" t="s">
        <v>61</v>
      </c>
      <c r="Q1" s="3" t="s">
        <v>61</v>
      </c>
      <c r="R1" s="3" t="s">
        <v>61</v>
      </c>
      <c r="S1" s="3" t="s">
        <v>61</v>
      </c>
      <c r="T1" s="3" t="s">
        <v>61</v>
      </c>
      <c r="U1" s="3"/>
      <c r="V1" s="3"/>
      <c r="W1" s="3" t="s">
        <v>61</v>
      </c>
      <c r="X1" s="3" t="s">
        <v>61</v>
      </c>
      <c r="Y1" s="3"/>
      <c r="Z1" s="3"/>
    </row>
    <row r="2" spans="2:48" x14ac:dyDescent="0.25">
      <c r="B2" t="s">
        <v>40</v>
      </c>
      <c r="C2" s="3" t="s">
        <v>123</v>
      </c>
      <c r="D2" s="3" t="s">
        <v>124</v>
      </c>
      <c r="E2" s="4" t="s">
        <v>64</v>
      </c>
      <c r="F2" s="4" t="s">
        <v>65</v>
      </c>
      <c r="G2" s="4" t="s">
        <v>66</v>
      </c>
      <c r="H2" s="4" t="s">
        <v>67</v>
      </c>
      <c r="I2" s="4" t="s">
        <v>68</v>
      </c>
      <c r="J2" s="4" t="s">
        <v>69</v>
      </c>
      <c r="K2" s="4" t="s">
        <v>90</v>
      </c>
      <c r="L2" s="4" t="s">
        <v>91</v>
      </c>
      <c r="M2" s="3" t="s">
        <v>127</v>
      </c>
      <c r="N2" s="3" t="s">
        <v>128</v>
      </c>
      <c r="O2" s="3" t="s">
        <v>70</v>
      </c>
      <c r="P2" s="3" t="s">
        <v>71</v>
      </c>
      <c r="Q2" s="3" t="s">
        <v>72</v>
      </c>
      <c r="R2" s="3" t="s">
        <v>73</v>
      </c>
      <c r="S2" s="3" t="s">
        <v>74</v>
      </c>
      <c r="T2" s="3" t="s">
        <v>75</v>
      </c>
      <c r="U2" s="3" t="s">
        <v>88</v>
      </c>
      <c r="V2" s="3" t="s">
        <v>89</v>
      </c>
      <c r="W2" s="3" t="s">
        <v>125</v>
      </c>
      <c r="X2" s="3" t="s">
        <v>126</v>
      </c>
      <c r="Y2" s="3" t="s">
        <v>163</v>
      </c>
      <c r="Z2" s="3" t="s">
        <v>164</v>
      </c>
      <c r="AA2" s="7" t="s">
        <v>76</v>
      </c>
      <c r="AB2" s="7" t="s">
        <v>77</v>
      </c>
      <c r="AC2" s="7" t="s">
        <v>78</v>
      </c>
      <c r="AD2" s="7" t="s">
        <v>79</v>
      </c>
      <c r="AE2" s="7" t="s">
        <v>80</v>
      </c>
      <c r="AF2" s="7" t="s">
        <v>81</v>
      </c>
      <c r="AG2" s="7" t="s">
        <v>82</v>
      </c>
      <c r="AH2" s="7" t="s">
        <v>83</v>
      </c>
      <c r="AJ2"/>
      <c r="AK2"/>
      <c r="AL2"/>
      <c r="AM2"/>
      <c r="AN2"/>
      <c r="AO2"/>
      <c r="AP2"/>
      <c r="AQ2"/>
      <c r="AR2"/>
      <c r="AS2"/>
    </row>
    <row r="3" spans="2:48" x14ac:dyDescent="0.25">
      <c r="B3">
        <v>0</v>
      </c>
      <c r="C3" s="3">
        <v>0</v>
      </c>
      <c r="D3" s="3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50">
        <v>0</v>
      </c>
      <c r="V3" s="50">
        <v>0</v>
      </c>
      <c r="W3" s="50">
        <v>0</v>
      </c>
      <c r="X3" s="50">
        <v>0</v>
      </c>
      <c r="Y3" s="50">
        <v>0</v>
      </c>
      <c r="Z3" s="50">
        <v>0</v>
      </c>
      <c r="AA3" s="9">
        <f>Tabelle3[[#This Row],[Nedime (€)]]/C$24</f>
        <v>0</v>
      </c>
      <c r="AB3" s="9">
        <f>Tabelle3[[#This Row],[Nedime (Backer)]]/D$24</f>
        <v>0</v>
      </c>
      <c r="AC3" s="9">
        <f>Tabelle3[[#This Row],[Thorwal (€)]]/O$24</f>
        <v>0</v>
      </c>
      <c r="AD3" s="9">
        <f>Tabelle3[[#This Row],[Thorwal (Backer)]]/P$24</f>
        <v>0</v>
      </c>
      <c r="AE3" s="9">
        <f>Tabelle3[[#This Row],[Werkzeuge (€)]]/Q$24</f>
        <v>0</v>
      </c>
      <c r="AF3" s="9">
        <f>Tabelle3[[#This Row],[Werkzeuge (Backer)]]/R$24</f>
        <v>0</v>
      </c>
      <c r="AG3" s="9">
        <f>Tabelle3[[#This Row],[Mythos (€)]]/S$24</f>
        <v>0</v>
      </c>
      <c r="AH3" s="9">
        <f>Tabelle3[[#This Row],[Mythos (Backer)]]/T$24</f>
        <v>0</v>
      </c>
      <c r="AJ3"/>
      <c r="AK3"/>
      <c r="AL3"/>
      <c r="AM3"/>
      <c r="AN3"/>
      <c r="AO3"/>
      <c r="AP3"/>
      <c r="AQ3"/>
      <c r="AR3"/>
      <c r="AS3"/>
    </row>
    <row r="4" spans="2:48" x14ac:dyDescent="0.25">
      <c r="B4">
        <v>1</v>
      </c>
      <c r="C4" s="3">
        <v>14771</v>
      </c>
      <c r="D4" s="3">
        <v>73</v>
      </c>
      <c r="E4" s="4">
        <f>Tabelle3[[#This Row],[Thorwal (€)]]/O24*E24</f>
        <v>15220.890095815445</v>
      </c>
      <c r="F4" s="4">
        <f>Tabelle3[[#This Row],[Thorwal (Backer)]]/P24*F24</f>
        <v>110.36895674300254</v>
      </c>
      <c r="G4" s="4">
        <f>Tabelle3[[#This Row],[Werkzeuge (€)]]/$Q$24*$G$24</f>
        <v>15879.347283058034</v>
      </c>
      <c r="H4" s="4">
        <f>Tabelle3[[#This Row],[Werkzeuge (Backer)]]/$R$24*$H$24</f>
        <v>82.160052910052912</v>
      </c>
      <c r="I4" s="11">
        <f>Tabelle3[[#This Row],[Mythos (€)]]/$S$24*$I$24</f>
        <v>8008.0810450070085</v>
      </c>
      <c r="J4" s="11">
        <f>Tabelle3[[#This Row],[Mythos (Backer)]]/$T$24*$J$24</f>
        <v>48.804500703234879</v>
      </c>
      <c r="K4" s="4">
        <f>Tabelle3[[#This Row],[DSK (€)]]/$U$24*$I$24</f>
        <v>18321.783592211064</v>
      </c>
      <c r="L4" s="4">
        <f>Tabelle3[[#This Row],[DSK (Backer)]]/$V$24*$L$24</f>
        <v>103.14786585365853</v>
      </c>
      <c r="M4" s="4">
        <f>Tabelle3[[#This Row],[Mythen (€)]]/$W$24*$M$24</f>
        <v>13585.517272030311</v>
      </c>
      <c r="N4" s="4">
        <f>Tabelle3[[#This Row],[Mythen (Backer)]]/$X$24*$N$24</f>
        <v>80.453629032258064</v>
      </c>
      <c r="O4" s="3">
        <v>65000</v>
      </c>
      <c r="P4" s="3">
        <v>500</v>
      </c>
      <c r="Q4" s="3">
        <v>43437</v>
      </c>
      <c r="R4" s="3">
        <v>179</v>
      </c>
      <c r="S4" s="10">
        <f>S3+($S$6-$S$3)/3</f>
        <v>15333.333333333334</v>
      </c>
      <c r="T4" s="10">
        <f>T3+($T$6-$T$3)/3</f>
        <v>100</v>
      </c>
      <c r="U4" s="50">
        <v>36402</v>
      </c>
      <c r="V4" s="50">
        <v>195</v>
      </c>
      <c r="W4" s="50">
        <v>19612</v>
      </c>
      <c r="X4" s="50">
        <v>115</v>
      </c>
      <c r="Y4" s="50">
        <v>90016</v>
      </c>
      <c r="Z4" s="50">
        <v>627</v>
      </c>
      <c r="AA4" s="9">
        <f>Tabelle3[[#This Row],[Nedime (€)]]/C$24</f>
        <v>0.23692357045472773</v>
      </c>
      <c r="AB4" s="9">
        <f>Tabelle3[[#This Row],[Nedime (Backer)]]/D$24</f>
        <v>0.21037463976945245</v>
      </c>
      <c r="AC4" s="9">
        <f>Tabelle3[[#This Row],[Thorwal (€)]]/O$24</f>
        <v>0.24413970800890922</v>
      </c>
      <c r="AD4" s="9">
        <f>Tabelle3[[#This Row],[Thorwal (Backer)]]/P$24</f>
        <v>0.31806615776081426</v>
      </c>
      <c r="AE4" s="9">
        <f>Tabelle3[[#This Row],[Werkzeuge (€)]]/Q$24</f>
        <v>0.25470121554347636</v>
      </c>
      <c r="AF4" s="9">
        <f>Tabelle3[[#This Row],[Werkzeuge (Backer)]]/R$24</f>
        <v>0.23677248677248677</v>
      </c>
      <c r="AG4" s="9"/>
      <c r="AH4" s="9"/>
      <c r="AJ4"/>
      <c r="AK4"/>
      <c r="AL4"/>
      <c r="AM4"/>
      <c r="AN4"/>
      <c r="AO4"/>
      <c r="AP4"/>
      <c r="AQ4"/>
      <c r="AR4"/>
      <c r="AS4"/>
    </row>
    <row r="5" spans="2:48" x14ac:dyDescent="0.25">
      <c r="B5">
        <v>2</v>
      </c>
      <c r="C5" s="3">
        <v>16764</v>
      </c>
      <c r="D5" s="3">
        <v>82</v>
      </c>
      <c r="E5" s="11">
        <f t="shared" ref="E5:E13" si="0">E4+($E$14-$E$4)/10</f>
        <v>16625.895335429177</v>
      </c>
      <c r="F5" s="11">
        <f>F4+($F$14-$F$4)/10</f>
        <v>119.19847328244275</v>
      </c>
      <c r="G5" s="4">
        <f>Tabelle3[[#This Row],[Werkzeuge (€)]]/$Q$24*$G$24</f>
        <v>18103.852387402443</v>
      </c>
      <c r="H5" s="4">
        <f>Tabelle3[[#This Row],[Werkzeuge (Backer)]]/$R$24*$H$24</f>
        <v>94.55291005291005</v>
      </c>
      <c r="I5" s="11">
        <f>Tabelle3[[#This Row],[Mythos (€)]]/$S$24*$I$24</f>
        <v>16016.162090014017</v>
      </c>
      <c r="J5" s="11">
        <f>Tabelle3[[#This Row],[Mythos (Backer)]]/$T$24*$J$24</f>
        <v>97.609001406469758</v>
      </c>
      <c r="K5" s="4">
        <f>Tabelle3[[#This Row],[DSK (€)]]/$U$24*$I$24</f>
        <v>21471.044620079439</v>
      </c>
      <c r="L5" s="4">
        <f>Tabelle3[[#This Row],[DSK (Backer)]]/$V$24*$L$24</f>
        <v>123.24847560975608</v>
      </c>
      <c r="M5" s="4">
        <f>Tabelle3[[#This Row],[Mythen (€)]]/$W$24*$M$24</f>
        <v>16993.672736969591</v>
      </c>
      <c r="N5" s="4">
        <f>Tabelle3[[#This Row],[Mythen (Backer)]]/$X$24*$N$24</f>
        <v>101.44153225806453</v>
      </c>
      <c r="O5" s="10">
        <f>O4+($O$14-$O$4)/10</f>
        <v>71000</v>
      </c>
      <c r="P5" s="10">
        <f>P4+($P$14-$P$4)/10</f>
        <v>540</v>
      </c>
      <c r="Q5" s="3">
        <v>49522</v>
      </c>
      <c r="R5" s="3">
        <v>206</v>
      </c>
      <c r="S5" s="10">
        <f>S4+($S$6-$S$3)/3</f>
        <v>30666.666666666668</v>
      </c>
      <c r="T5" s="10">
        <f>T4+($T$6-$T$3)/3</f>
        <v>200</v>
      </c>
      <c r="U5" s="50">
        <v>42659</v>
      </c>
      <c r="V5" s="50">
        <v>233</v>
      </c>
      <c r="W5" s="50">
        <v>24532</v>
      </c>
      <c r="X5" s="50">
        <v>145</v>
      </c>
      <c r="Y5" s="50">
        <v>114003</v>
      </c>
      <c r="Z5" s="50">
        <v>789</v>
      </c>
      <c r="AA5" s="9">
        <f>Tabelle3[[#This Row],[Nedime (€)]]/C$24</f>
        <v>0.2688908493062796</v>
      </c>
      <c r="AB5" s="9">
        <f>Tabelle3[[#This Row],[Nedime (Backer)]]/D$24</f>
        <v>0.23631123919308358</v>
      </c>
      <c r="AC5" s="9"/>
      <c r="AD5" s="9"/>
      <c r="AE5" s="9">
        <f>Tabelle3[[#This Row],[Werkzeuge (€)]]/Q$24</f>
        <v>0.29038178502530182</v>
      </c>
      <c r="AF5" s="9">
        <f>Tabelle3[[#This Row],[Werkzeuge (Backer)]]/R$24</f>
        <v>0.2724867724867725</v>
      </c>
      <c r="AG5" s="9"/>
      <c r="AH5" s="9"/>
      <c r="AJ5"/>
      <c r="AK5"/>
      <c r="AL5"/>
      <c r="AM5"/>
      <c r="AN5"/>
      <c r="AO5"/>
      <c r="AP5"/>
      <c r="AQ5"/>
      <c r="AR5"/>
      <c r="AS5"/>
    </row>
    <row r="6" spans="2:48" ht="15.75" thickBot="1" x14ac:dyDescent="0.3">
      <c r="B6">
        <v>3</v>
      </c>
      <c r="C6" s="3">
        <v>17674</v>
      </c>
      <c r="D6" s="3">
        <v>90</v>
      </c>
      <c r="E6" s="11">
        <f t="shared" si="0"/>
        <v>18030.90057504291</v>
      </c>
      <c r="F6" s="11">
        <f t="shared" ref="F6:F13" si="1">F5+($F$14-$F$4)/10</f>
        <v>128.02798982188295</v>
      </c>
      <c r="G6" s="4">
        <f>Tabelle3[[#This Row],[Werkzeuge (€)]]/$Q$24*$G$24</f>
        <v>19704.691804316852</v>
      </c>
      <c r="H6" s="4">
        <f>Tabelle3[[#This Row],[Werkzeuge (Backer)]]/$R$24*$H$24</f>
        <v>102.81481481481481</v>
      </c>
      <c r="I6" s="4">
        <f>Tabelle3[[#This Row],[Mythos (€)]]/$S$24*$I$24</f>
        <v>24024.243135021028</v>
      </c>
      <c r="J6" s="4">
        <f>Tabelle3[[#This Row],[Mythos (Backer)]]/$T$24*$J$24</f>
        <v>146.41350210970464</v>
      </c>
      <c r="K6" s="4">
        <f>Tabelle3[[#This Row],[DSK (€)]]/$U$24*$I$24</f>
        <v>22786.717998191623</v>
      </c>
      <c r="L6" s="4">
        <f>Tabelle3[[#This Row],[DSK (Backer)]]/$V$24*$L$24</f>
        <v>131.1829268292683</v>
      </c>
      <c r="M6" s="4">
        <f>Tabelle3[[#This Row],[Mythen (€)]]/$W$24*$M$24</f>
        <v>19168.103632181865</v>
      </c>
      <c r="N6" s="4">
        <f>Tabelle3[[#This Row],[Mythen (Backer)]]/$X$24*$N$24</f>
        <v>113.33467741935483</v>
      </c>
      <c r="O6" s="10">
        <f t="shared" ref="O6:O13" si="2">O5+($O$14-$O$4)/10</f>
        <v>77000</v>
      </c>
      <c r="P6" s="10">
        <f t="shared" ref="P6:P13" si="3">P5+($P$14-$P$4)/10</f>
        <v>580</v>
      </c>
      <c r="Q6" s="3">
        <v>53901</v>
      </c>
      <c r="R6" s="3">
        <v>224</v>
      </c>
      <c r="S6" s="3">
        <v>46000</v>
      </c>
      <c r="T6" s="3">
        <v>300</v>
      </c>
      <c r="U6" s="50">
        <v>45273</v>
      </c>
      <c r="V6" s="50">
        <v>248</v>
      </c>
      <c r="W6" s="50">
        <v>27671</v>
      </c>
      <c r="X6" s="50">
        <v>162</v>
      </c>
      <c r="Y6" s="50">
        <f>Sonnenküste!Y172</f>
        <v>122519</v>
      </c>
      <c r="Z6" s="50">
        <f>Sonnenküste!Z172</f>
        <v>852</v>
      </c>
      <c r="AA6" s="9">
        <f>Tabelle3[[#This Row],[Nedime (€)]]/C$24</f>
        <v>0.2834870478787393</v>
      </c>
      <c r="AB6" s="9">
        <f>Tabelle3[[#This Row],[Nedime (Backer)]]/D$24</f>
        <v>0.25936599423631124</v>
      </c>
      <c r="AC6" s="9"/>
      <c r="AD6" s="9"/>
      <c r="AE6" s="9">
        <f>Tabelle3[[#This Row],[Werkzeuge (€)]]/Q$24</f>
        <v>0.31605889492849226</v>
      </c>
      <c r="AF6" s="9">
        <f>Tabelle3[[#This Row],[Werkzeuge (Backer)]]/R$24</f>
        <v>0.29629629629629628</v>
      </c>
      <c r="AG6" s="9">
        <f>Tabelle3[[#This Row],[Mythos (€)]]/S$24</f>
        <v>0.38534354214485567</v>
      </c>
      <c r="AH6" s="9">
        <f>Tabelle3[[#This Row],[Mythos (Backer)]]/T$24</f>
        <v>0.4219409282700422</v>
      </c>
      <c r="AK6" s="8"/>
      <c r="AM6" s="8"/>
      <c r="AO6" s="20"/>
      <c r="AQ6" s="8"/>
      <c r="AS6" s="8"/>
    </row>
    <row r="7" spans="2:48" x14ac:dyDescent="0.25">
      <c r="B7">
        <v>4</v>
      </c>
      <c r="C7" s="3">
        <v>18881</v>
      </c>
      <c r="D7" s="3">
        <v>95</v>
      </c>
      <c r="E7" s="11">
        <f t="shared" si="0"/>
        <v>19435.905814656642</v>
      </c>
      <c r="F7" s="11">
        <f t="shared" si="1"/>
        <v>136.85750636132315</v>
      </c>
      <c r="G7" s="4">
        <f>Tabelle3[[#This Row],[Werkzeuge (€)]]/$Q$24*$G$24</f>
        <v>21920.78875461033</v>
      </c>
      <c r="H7" s="4">
        <f>Tabelle3[[#This Row],[Werkzeuge (Backer)]]/$R$24*$H$24</f>
        <v>113.37169312169313</v>
      </c>
      <c r="I7" s="11">
        <f>Tabelle3[[#This Row],[Mythos (€)]]/$S$24*$I$24</f>
        <v>26153.174071964302</v>
      </c>
      <c r="J7" s="11">
        <f>Tabelle3[[#This Row],[Mythos (Backer)]]/$T$24*$J$24</f>
        <v>157.55719643694326</v>
      </c>
      <c r="K7" s="4">
        <f>Tabelle3[[#This Row],[DSK (€)]]/$U$24*$I$24</f>
        <v>24137.623639680951</v>
      </c>
      <c r="L7" s="4">
        <f>Tabelle3[[#This Row],[DSK (Backer)]]/$V$24*$L$24</f>
        <v>139.64634146341464</v>
      </c>
      <c r="M7" s="4">
        <f>Tabelle3[[#This Row],[Mythen (€)]]/$W$24*$M$24</f>
        <v>21005.875268052576</v>
      </c>
      <c r="N7" s="4">
        <f>Tabelle3[[#This Row],[Mythen (Backer)]]/$X$24*$N$24</f>
        <v>124.52822580645162</v>
      </c>
      <c r="O7" s="10">
        <f t="shared" si="2"/>
        <v>83000</v>
      </c>
      <c r="P7" s="10">
        <f t="shared" si="3"/>
        <v>620</v>
      </c>
      <c r="Q7" s="3">
        <v>59963</v>
      </c>
      <c r="R7" s="3">
        <v>247</v>
      </c>
      <c r="S7" s="10">
        <f>S6+($S$24-$S$6)/18</f>
        <v>50076.333333333336</v>
      </c>
      <c r="T7" s="10">
        <f>T6+($T$24-$T$6)/18</f>
        <v>322.83333333333331</v>
      </c>
      <c r="U7" s="50">
        <v>47957</v>
      </c>
      <c r="V7" s="50">
        <v>264</v>
      </c>
      <c r="W7" s="50">
        <v>30324</v>
      </c>
      <c r="X7" s="50">
        <v>178</v>
      </c>
      <c r="Y7" s="50">
        <f>Sonnenküste!Y173</f>
        <v>127604</v>
      </c>
      <c r="Z7" s="50">
        <f>Sonnenküste!Z173</f>
        <v>891</v>
      </c>
      <c r="AA7" s="9">
        <f>Tabelle3[[#This Row],[Nedime (€)]]/C$24</f>
        <v>0.30284706071056222</v>
      </c>
      <c r="AB7" s="9">
        <f>Tabelle3[[#This Row],[Nedime (Backer)]]/D$24</f>
        <v>0.2737752161383285</v>
      </c>
      <c r="AC7" s="9"/>
      <c r="AD7" s="9"/>
      <c r="AE7" s="9">
        <f>Tabelle3[[#This Row],[Werkzeuge (€)]]/Q$24</f>
        <v>0.35160459948047684</v>
      </c>
      <c r="AF7" s="9">
        <f>Tabelle3[[#This Row],[Werkzeuge (Backer)]]/R$24</f>
        <v>0.32671957671957674</v>
      </c>
      <c r="AG7" s="9"/>
      <c r="AH7" s="9"/>
      <c r="AJ7" s="25" t="s">
        <v>63</v>
      </c>
      <c r="AK7" s="31" t="s">
        <v>63</v>
      </c>
      <c r="AL7" s="32" t="s">
        <v>63</v>
      </c>
      <c r="AM7" s="31" t="s">
        <v>63</v>
      </c>
      <c r="AN7" s="32" t="s">
        <v>63</v>
      </c>
      <c r="AO7" s="31" t="s">
        <v>63</v>
      </c>
      <c r="AP7" s="32" t="s">
        <v>63</v>
      </c>
      <c r="AQ7" s="26" t="s">
        <v>63</v>
      </c>
      <c r="AR7" s="32" t="s">
        <v>63</v>
      </c>
      <c r="AS7" s="26" t="s">
        <v>63</v>
      </c>
      <c r="AU7" t="s">
        <v>23</v>
      </c>
      <c r="AV7" t="s">
        <v>97</v>
      </c>
    </row>
    <row r="8" spans="2:48" x14ac:dyDescent="0.25">
      <c r="B8">
        <v>5</v>
      </c>
      <c r="C8" s="3">
        <v>21886</v>
      </c>
      <c r="D8" s="3">
        <v>111</v>
      </c>
      <c r="E8" s="11">
        <f t="shared" si="0"/>
        <v>20840.911054270375</v>
      </c>
      <c r="F8" s="11">
        <f t="shared" si="1"/>
        <v>145.68702290076334</v>
      </c>
      <c r="G8" s="4">
        <f>Tabelle3[[#This Row],[Werkzeuge (€)]]/$Q$24*$G$24</f>
        <v>23073.071431503275</v>
      </c>
      <c r="H8" s="4">
        <f>Tabelle3[[#This Row],[Werkzeuge (Backer)]]/$R$24*$H$24</f>
        <v>121.17460317460316</v>
      </c>
      <c r="I8" s="11">
        <f>Tabelle3[[#This Row],[Mythos (€)]]/$S$24*$I$24</f>
        <v>28282.10500890758</v>
      </c>
      <c r="J8" s="11">
        <f>Tabelle3[[#This Row],[Mythos (Backer)]]/$T$24*$J$24</f>
        <v>168.70089076418188</v>
      </c>
      <c r="K8" s="4">
        <f>Tabelle3[[#This Row],[DSK (€)]]/$U$24*$I$24</f>
        <v>25549.934083056156</v>
      </c>
      <c r="L8" s="4">
        <f>Tabelle3[[#This Row],[DSK (Backer)]]/$V$24*$L$24</f>
        <v>148.10975609756096</v>
      </c>
      <c r="M8" s="4">
        <f>Tabelle3[[#This Row],[Mythen (€)]]/$W$24*$M$24</f>
        <v>22597.040532882966</v>
      </c>
      <c r="N8" s="4">
        <f>Tabelle3[[#This Row],[Mythen (Backer)]]/$X$24*$N$24</f>
        <v>133.62298387096774</v>
      </c>
      <c r="O8" s="10">
        <f t="shared" si="2"/>
        <v>89000</v>
      </c>
      <c r="P8" s="10">
        <f t="shared" si="3"/>
        <v>660</v>
      </c>
      <c r="Q8" s="3">
        <v>63115</v>
      </c>
      <c r="R8" s="3">
        <v>264</v>
      </c>
      <c r="S8" s="10">
        <f t="shared" ref="S8:S23" si="4">S7+($S$24-$S$6)/18</f>
        <v>54152.666666666672</v>
      </c>
      <c r="T8" s="10">
        <f t="shared" ref="T8:T23" si="5">T7+($T$24-$T$6)/18</f>
        <v>345.66666666666663</v>
      </c>
      <c r="U8" s="50">
        <v>50763</v>
      </c>
      <c r="V8" s="50">
        <v>280</v>
      </c>
      <c r="W8" s="50">
        <v>32621</v>
      </c>
      <c r="X8" s="50">
        <v>191</v>
      </c>
      <c r="Y8" s="50">
        <f>Sonnenküste!Y174</f>
        <v>131274</v>
      </c>
      <c r="Z8" s="50">
        <f>Sonnenküste!Z174</f>
        <v>918</v>
      </c>
      <c r="AA8" s="9">
        <f>Tabelle3[[#This Row],[Nedime (€)]]/C$24</f>
        <v>0.35104659555698131</v>
      </c>
      <c r="AB8" s="9">
        <f>Tabelle3[[#This Row],[Nedime (Backer)]]/D$24</f>
        <v>0.31988472622478387</v>
      </c>
      <c r="AC8" s="9"/>
      <c r="AD8" s="9"/>
      <c r="AE8" s="9">
        <f>Tabelle3[[#This Row],[Werkzeuge (€)]]/Q$24</f>
        <v>0.37008695856128437</v>
      </c>
      <c r="AF8" s="9">
        <f>Tabelle3[[#This Row],[Werkzeuge (Backer)]]/R$24</f>
        <v>0.34920634920634919</v>
      </c>
      <c r="AG8" s="9"/>
      <c r="AH8" s="9"/>
      <c r="AJ8" s="27" t="s">
        <v>86</v>
      </c>
      <c r="AK8" s="33" t="s">
        <v>87</v>
      </c>
      <c r="AL8" s="34" t="s">
        <v>84</v>
      </c>
      <c r="AM8" s="33" t="s">
        <v>85</v>
      </c>
      <c r="AN8" s="34" t="s">
        <v>131</v>
      </c>
      <c r="AO8" s="33" t="s">
        <v>132</v>
      </c>
      <c r="AP8" s="34" t="s">
        <v>92</v>
      </c>
      <c r="AQ8" s="28" t="s">
        <v>93</v>
      </c>
      <c r="AR8" s="34" t="s">
        <v>161</v>
      </c>
      <c r="AS8" s="28" t="s">
        <v>162</v>
      </c>
      <c r="AT8" s="16" t="s">
        <v>95</v>
      </c>
      <c r="AU8" s="23">
        <f>MIN(AJ9,AL9,AN9,AP9,AR9)</f>
        <v>3.4027800670292843</v>
      </c>
      <c r="AV8" s="23">
        <f>MIN(AK9,AM9,AO9,AQ9,AS9)</f>
        <v>3.1440000000000001</v>
      </c>
    </row>
    <row r="9" spans="2:48" x14ac:dyDescent="0.25">
      <c r="B9">
        <v>6</v>
      </c>
      <c r="C9" s="3">
        <v>22571</v>
      </c>
      <c r="D9" s="3">
        <v>114.99999999999999</v>
      </c>
      <c r="E9" s="11">
        <f t="shared" si="0"/>
        <v>22245.916293884107</v>
      </c>
      <c r="F9" s="11">
        <f t="shared" si="1"/>
        <v>154.51653944020353</v>
      </c>
      <c r="G9" s="4">
        <f>Tabelle3[[#This Row],[Werkzeuge (€)]]/$Q$24*$G$24</f>
        <v>23816.279135222616</v>
      </c>
      <c r="H9" s="4">
        <f>Tabelle3[[#This Row],[Werkzeuge (Backer)]]/$R$24*$H$24</f>
        <v>125.76455026455027</v>
      </c>
      <c r="I9" s="11">
        <f>Tabelle3[[#This Row],[Mythos (€)]]/$S$24*$I$24</f>
        <v>30411.035945850857</v>
      </c>
      <c r="J9" s="11">
        <f>Tabelle3[[#This Row],[Mythos (Backer)]]/$T$24*$J$24</f>
        <v>179.84458509142053</v>
      </c>
      <c r="K9" s="4">
        <f>Tabelle3[[#This Row],[DSK (€)]]/$U$24*$I$24</f>
        <v>27093.107218975038</v>
      </c>
      <c r="L9" s="4">
        <f>Tabelle3[[#This Row],[DSK (Backer)]]/$V$24*$L$24</f>
        <v>155.51524390243904</v>
      </c>
      <c r="M9" s="4">
        <f>Tabelle3[[#This Row],[Mythen (€)]]/$W$24*$M$24</f>
        <v>25963.633126298595</v>
      </c>
      <c r="N9" s="4">
        <f>Tabelle3[[#This Row],[Mythen (Backer)]]/$X$24*$N$24</f>
        <v>153.91129032258064</v>
      </c>
      <c r="O9" s="10">
        <f t="shared" si="2"/>
        <v>95000</v>
      </c>
      <c r="P9" s="10">
        <f t="shared" si="3"/>
        <v>700</v>
      </c>
      <c r="Q9" s="3">
        <v>65148</v>
      </c>
      <c r="R9" s="3">
        <v>274</v>
      </c>
      <c r="S9" s="10">
        <f t="shared" si="4"/>
        <v>58229.000000000007</v>
      </c>
      <c r="T9" s="10">
        <f t="shared" si="5"/>
        <v>368.49999999999994</v>
      </c>
      <c r="U9" s="50">
        <v>53829</v>
      </c>
      <c r="V9" s="50">
        <v>294</v>
      </c>
      <c r="W9" s="50">
        <v>37481</v>
      </c>
      <c r="X9" s="50">
        <v>220</v>
      </c>
      <c r="Y9" s="50">
        <f>Sonnenküste!Y175</f>
        <v>135593</v>
      </c>
      <c r="Z9" s="50">
        <f>Sonnenküste!Z175</f>
        <v>953</v>
      </c>
      <c r="AA9" s="9">
        <f>Tabelle3[[#This Row],[Nedime (€)]]/C$24</f>
        <v>0.36203384393295374</v>
      </c>
      <c r="AB9" s="9">
        <f>Tabelle3[[#This Row],[Nedime (Backer)]]/D$24</f>
        <v>0.33141210374639768</v>
      </c>
      <c r="AC9" s="9"/>
      <c r="AD9" s="9"/>
      <c r="AE9" s="9">
        <f>Tabelle3[[#This Row],[Werkzeuge (€)]]/Q$24</f>
        <v>0.38200784562070117</v>
      </c>
      <c r="AF9" s="9">
        <f>Tabelle3[[#This Row],[Werkzeuge (Backer)]]/R$24</f>
        <v>0.36243386243386244</v>
      </c>
      <c r="AG9" s="9"/>
      <c r="AH9" s="9"/>
      <c r="AJ9" s="27">
        <f>C24/C4</f>
        <v>4.2207704285424139</v>
      </c>
      <c r="AK9" s="33">
        <f>D24/D4</f>
        <v>4.7534246575342465</v>
      </c>
      <c r="AL9" s="34">
        <f>O24/O4</f>
        <v>4.0960153846153844</v>
      </c>
      <c r="AM9" s="33">
        <f>P24/P4</f>
        <v>3.1440000000000001</v>
      </c>
      <c r="AN9" s="34">
        <f>Q24/Q4</f>
        <v>3.9261689343186683</v>
      </c>
      <c r="AO9" s="33">
        <f>R24/R4</f>
        <v>4.2234636871508382</v>
      </c>
      <c r="AP9" s="53">
        <f>U24/U4</f>
        <v>3.4027800670292843</v>
      </c>
      <c r="AQ9" s="54">
        <f>V24/V4</f>
        <v>3.3641025641025641</v>
      </c>
      <c r="AR9" s="53">
        <f>W24/W4</f>
        <v>4.589078115439527</v>
      </c>
      <c r="AS9" s="54">
        <f>X24/X4</f>
        <v>4.3130434782608695</v>
      </c>
      <c r="AT9" t="s">
        <v>96</v>
      </c>
      <c r="AU9" s="24">
        <f>MAX(AJ9,AL9,AN9,AP9,AR9)</f>
        <v>4.589078115439527</v>
      </c>
      <c r="AV9" s="24">
        <f>MAX(,AK9,AM9,AO9,AQ9,AS9)</f>
        <v>4.7534246575342465</v>
      </c>
    </row>
    <row r="10" spans="2:48" ht="15.75" thickBot="1" x14ac:dyDescent="0.3">
      <c r="B10">
        <v>7</v>
      </c>
      <c r="C10" s="3">
        <v>24180</v>
      </c>
      <c r="D10" s="3">
        <v>124</v>
      </c>
      <c r="E10" s="11">
        <f t="shared" si="0"/>
        <v>23650.92153349784</v>
      </c>
      <c r="F10" s="11">
        <f t="shared" si="1"/>
        <v>163.34605597964372</v>
      </c>
      <c r="G10" s="4">
        <f>Tabelle3[[#This Row],[Werkzeuge (€)]]/$Q$24*$G$24</f>
        <v>25452.213456001784</v>
      </c>
      <c r="H10" s="4">
        <f>Tabelle3[[#This Row],[Werkzeuge (Backer)]]/$R$24*$H$24</f>
        <v>135.40343915343917</v>
      </c>
      <c r="I10" s="11">
        <f>Tabelle3[[#This Row],[Mythos (€)]]/$S$24*$I$24</f>
        <v>32539.966882794135</v>
      </c>
      <c r="J10" s="11">
        <f>Tabelle3[[#This Row],[Mythos (Backer)]]/$T$24*$J$24</f>
        <v>190.98827941865915</v>
      </c>
      <c r="K10" s="4">
        <f>Tabelle3[[#This Row],[DSK (€)]]/$U$24*$I$24</f>
        <v>28176.247658798078</v>
      </c>
      <c r="L10" s="4">
        <f>Tabelle3[[#This Row],[DSK (Backer)]]/$V$24*$L$24</f>
        <v>162.92073170731706</v>
      </c>
      <c r="M10" s="4">
        <f>Tabelle3[[#This Row],[Mythen (€)]]/$W$24*$M$24</f>
        <v>27863.056354929391</v>
      </c>
      <c r="N10" s="4">
        <f>Tabelle3[[#This Row],[Mythen (Backer)]]/$X$24*$N$24</f>
        <v>165.10483870967744</v>
      </c>
      <c r="O10" s="10">
        <f t="shared" si="2"/>
        <v>101000</v>
      </c>
      <c r="P10" s="10">
        <f t="shared" si="3"/>
        <v>740</v>
      </c>
      <c r="Q10" s="3">
        <v>69623</v>
      </c>
      <c r="R10" s="3">
        <v>295</v>
      </c>
      <c r="S10" s="10">
        <f t="shared" si="4"/>
        <v>62305.333333333343</v>
      </c>
      <c r="T10" s="10">
        <f t="shared" si="5"/>
        <v>391.33333333333326</v>
      </c>
      <c r="U10" s="50">
        <v>55981</v>
      </c>
      <c r="V10" s="50">
        <v>308</v>
      </c>
      <c r="W10" s="50">
        <v>40223</v>
      </c>
      <c r="X10" s="50">
        <v>236</v>
      </c>
      <c r="Y10" s="50">
        <f>Sonnenküste!Y176</f>
        <v>147297</v>
      </c>
      <c r="Z10" s="50">
        <f>Sonnenküste!Z176</f>
        <v>1044</v>
      </c>
      <c r="AA10" s="9">
        <f>Tabelle3[[#This Row],[Nedime (€)]]/C$24</f>
        <v>0.38784184778250058</v>
      </c>
      <c r="AB10" s="9">
        <f>Tabelle3[[#This Row],[Nedime (Backer)]]/D$24</f>
        <v>0.35734870317002881</v>
      </c>
      <c r="AC10" s="9"/>
      <c r="AD10" s="9"/>
      <c r="AE10" s="9">
        <f>Tabelle3[[#This Row],[Werkzeuge (€)]]/Q$24</f>
        <v>0.40824787001366242</v>
      </c>
      <c r="AF10" s="9">
        <f>Tabelle3[[#This Row],[Werkzeuge (Backer)]]/R$24</f>
        <v>0.39021164021164023</v>
      </c>
      <c r="AG10" s="9"/>
      <c r="AH10" s="9"/>
      <c r="AJ10" s="29"/>
      <c r="AK10" s="35">
        <f>AJ9-AK9</f>
        <v>-0.53265422899183257</v>
      </c>
      <c r="AL10" s="36"/>
      <c r="AM10" s="35">
        <f>AL9-AM9</f>
        <v>0.95201538461538426</v>
      </c>
      <c r="AN10" s="36"/>
      <c r="AO10" s="35">
        <f>AN9-AO9</f>
        <v>-0.29729475283216988</v>
      </c>
      <c r="AP10" s="36"/>
      <c r="AQ10" s="30">
        <f>AP9-AQ9</f>
        <v>3.867750292672012E-2</v>
      </c>
      <c r="AR10" s="36"/>
      <c r="AS10" s="30">
        <f>AR9-AS9</f>
        <v>0.2760346371786575</v>
      </c>
    </row>
    <row r="11" spans="2:48" ht="15.75" thickBot="1" x14ac:dyDescent="0.3">
      <c r="B11">
        <v>8</v>
      </c>
      <c r="C11" s="3">
        <v>26679</v>
      </c>
      <c r="D11" s="3">
        <v>136</v>
      </c>
      <c r="E11" s="11">
        <f t="shared" si="0"/>
        <v>25055.926773111572</v>
      </c>
      <c r="F11" s="11">
        <f t="shared" si="1"/>
        <v>172.17557251908391</v>
      </c>
      <c r="G11" s="4">
        <f>Tabelle3[[#This Row],[Werkzeuge (€)]]/$Q$24*$G$24</f>
        <v>26607.420708216792</v>
      </c>
      <c r="H11" s="4">
        <f>Tabelle3[[#This Row],[Werkzeuge (Backer)]]/$R$24*$H$24</f>
        <v>141.37037037037035</v>
      </c>
      <c r="I11" s="11">
        <f>Tabelle3[[#This Row],[Mythos (€)]]/$S$24*$I$24</f>
        <v>34668.897819737409</v>
      </c>
      <c r="J11" s="11">
        <f>Tabelle3[[#This Row],[Mythos (Backer)]]/$T$24*$J$24</f>
        <v>202.13197374589777</v>
      </c>
      <c r="K11" s="4">
        <f>Tabelle3[[#This Row],[DSK (€)]]/$U$24*$I$24</f>
        <v>29592.58464655924</v>
      </c>
      <c r="L11" s="4">
        <f>Tabelle3[[#This Row],[DSK (Backer)]]/$V$24*$L$24</f>
        <v>171.91310975609755</v>
      </c>
      <c r="M11" s="4">
        <f>Tabelle3[[#This Row],[Mythen (€)]]/$W$24*$M$24</f>
        <v>30317.343918400908</v>
      </c>
      <c r="N11" s="4">
        <f>Tabelle3[[#This Row],[Mythen (Backer)]]/$X$24*$N$24</f>
        <v>176.99798387096777</v>
      </c>
      <c r="O11" s="10">
        <f t="shared" si="2"/>
        <v>107000</v>
      </c>
      <c r="P11" s="10">
        <f t="shared" si="3"/>
        <v>780</v>
      </c>
      <c r="Q11" s="3">
        <v>72783</v>
      </c>
      <c r="R11" s="3">
        <v>308</v>
      </c>
      <c r="S11" s="10">
        <f t="shared" si="4"/>
        <v>66381.666666666672</v>
      </c>
      <c r="T11" s="10">
        <f t="shared" si="5"/>
        <v>414.16666666666657</v>
      </c>
      <c r="U11" s="50">
        <v>58795</v>
      </c>
      <c r="V11" s="50">
        <v>325</v>
      </c>
      <c r="W11" s="50">
        <v>43766</v>
      </c>
      <c r="X11" s="50">
        <v>253</v>
      </c>
      <c r="Y11" s="50">
        <f>Sonnenküste!Y177</f>
        <v>154154</v>
      </c>
      <c r="Z11" s="50">
        <f>Sonnenküste!Z177</f>
        <v>1084</v>
      </c>
      <c r="AA11" s="9">
        <f>Tabelle3[[#This Row],[Nedime (€)]]/C$24</f>
        <v>0.42792525463148606</v>
      </c>
      <c r="AB11" s="9">
        <f>Tabelle3[[#This Row],[Nedime (Backer)]]/D$24</f>
        <v>0.39193083573487031</v>
      </c>
      <c r="AC11" s="9"/>
      <c r="AD11" s="9"/>
      <c r="AE11" s="9">
        <f>Tabelle3[[#This Row],[Werkzeuge (€)]]/Q$24</f>
        <v>0.42677713863528416</v>
      </c>
      <c r="AF11" s="9">
        <f>Tabelle3[[#This Row],[Werkzeuge (Backer)]]/R$24</f>
        <v>0.40740740740740738</v>
      </c>
      <c r="AG11" s="9"/>
      <c r="AH11" s="9"/>
    </row>
    <row r="12" spans="2:48" x14ac:dyDescent="0.25">
      <c r="B12">
        <v>9</v>
      </c>
      <c r="C12" s="3">
        <v>27868</v>
      </c>
      <c r="D12" s="3">
        <v>142</v>
      </c>
      <c r="E12" s="11">
        <f t="shared" si="0"/>
        <v>26460.932012725305</v>
      </c>
      <c r="F12" s="11">
        <f t="shared" si="1"/>
        <v>181.00508905852411</v>
      </c>
      <c r="G12" s="4">
        <f>Tabelle3[[#This Row],[Werkzeuge (€)]]/$Q$24*$G$24</f>
        <v>28001.711993010478</v>
      </c>
      <c r="H12" s="4">
        <f>Tabelle3[[#This Row],[Werkzeuge (Backer)]]/$R$24*$H$24</f>
        <v>151.00925925925927</v>
      </c>
      <c r="I12" s="11">
        <f>Tabelle3[[#This Row],[Mythos (€)]]/$S$24*$I$24</f>
        <v>36797.828756680683</v>
      </c>
      <c r="J12" s="11">
        <f>Tabelle3[[#This Row],[Mythos (Backer)]]/$T$24*$J$24</f>
        <v>213.27566807313639</v>
      </c>
      <c r="K12" s="4">
        <f>Tabelle3[[#This Row],[DSK (€)]]/$U$24*$I$24</f>
        <v>31860.032453902542</v>
      </c>
      <c r="L12" s="4">
        <f>Tabelle3[[#This Row],[DSK (Backer)]]/$V$24*$L$24</f>
        <v>185.13719512195124</v>
      </c>
      <c r="M12" s="4">
        <f>Tabelle3[[#This Row],[Mythen (€)]]/$W$24*$M$24</f>
        <v>31844.779446895034</v>
      </c>
      <c r="N12" s="4">
        <f>Tabelle3[[#This Row],[Mythen (Backer)]]/$X$24*$N$24</f>
        <v>186.79233870967744</v>
      </c>
      <c r="O12" s="10">
        <f t="shared" si="2"/>
        <v>113000</v>
      </c>
      <c r="P12" s="10">
        <f t="shared" si="3"/>
        <v>820</v>
      </c>
      <c r="Q12" s="3">
        <v>76597</v>
      </c>
      <c r="R12" s="3">
        <v>329</v>
      </c>
      <c r="S12" s="10">
        <f t="shared" si="4"/>
        <v>70458</v>
      </c>
      <c r="T12" s="10">
        <f t="shared" si="5"/>
        <v>436.99999999999989</v>
      </c>
      <c r="U12" s="50">
        <v>63300</v>
      </c>
      <c r="V12" s="50">
        <v>350</v>
      </c>
      <c r="W12" s="50">
        <v>45971</v>
      </c>
      <c r="X12" s="50">
        <v>267</v>
      </c>
      <c r="Y12" s="50">
        <f>Sonnenküste!Y178</f>
        <v>158642</v>
      </c>
      <c r="Z12" s="50">
        <f>Sonnenküste!Z178</f>
        <v>1112</v>
      </c>
      <c r="AA12" s="9">
        <f>Tabelle3[[#This Row],[Nedime (€)]]/C$24</f>
        <v>0.44699655144759004</v>
      </c>
      <c r="AB12" s="9">
        <f>Tabelle3[[#This Row],[Nedime (Backer)]]/D$24</f>
        <v>0.40922190201729108</v>
      </c>
      <c r="AC12" s="9"/>
      <c r="AD12" s="9"/>
      <c r="AE12" s="9">
        <f>Tabelle3[[#This Row],[Werkzeuge (€)]]/Q$24</f>
        <v>0.44914126221846945</v>
      </c>
      <c r="AF12" s="9">
        <f>Tabelle3[[#This Row],[Werkzeuge (Backer)]]/R$24</f>
        <v>0.43518518518518517</v>
      </c>
      <c r="AG12" s="9"/>
      <c r="AH12" s="9"/>
      <c r="AJ12" s="25" t="s">
        <v>94</v>
      </c>
      <c r="AK12" s="31" t="s">
        <v>94</v>
      </c>
      <c r="AL12" s="60"/>
      <c r="AM12" s="61"/>
      <c r="AN12" s="55" t="s">
        <v>94</v>
      </c>
      <c r="AO12" s="56" t="s">
        <v>94</v>
      </c>
      <c r="AP12" s="32" t="s">
        <v>94</v>
      </c>
      <c r="AQ12" s="26" t="s">
        <v>94</v>
      </c>
      <c r="AR12" s="32" t="s">
        <v>94</v>
      </c>
      <c r="AS12" s="26" t="s">
        <v>94</v>
      </c>
    </row>
    <row r="13" spans="2:48" x14ac:dyDescent="0.25">
      <c r="B13">
        <v>10</v>
      </c>
      <c r="C13" s="3">
        <v>31587</v>
      </c>
      <c r="D13" s="3">
        <v>161</v>
      </c>
      <c r="E13" s="11">
        <f t="shared" si="0"/>
        <v>27865.937252339038</v>
      </c>
      <c r="F13" s="11">
        <f t="shared" si="1"/>
        <v>189.8346055979643</v>
      </c>
      <c r="G13" s="4">
        <f>Tabelle3[[#This Row],[Werkzeuge (€)]]/$Q$24*$G$24</f>
        <v>29730.867152180414</v>
      </c>
      <c r="H13" s="4">
        <f>Tabelle3[[#This Row],[Werkzeuge (Backer)]]/$R$24*$H$24</f>
        <v>160.64814814814815</v>
      </c>
      <c r="I13" s="11">
        <f>Tabelle3[[#This Row],[Mythos (€)]]/$S$24*$I$24</f>
        <v>38926.759693623957</v>
      </c>
      <c r="J13" s="11">
        <f>Tabelle3[[#This Row],[Mythos (Backer)]]/$T$24*$J$24</f>
        <v>224.41936240037501</v>
      </c>
      <c r="K13" s="4">
        <f>Tabelle3[[#This Row],[DSK (€)]]/$U$24*$I$24</f>
        <v>33546.147915522975</v>
      </c>
      <c r="L13" s="4">
        <f>Tabelle3[[#This Row],[DSK (Backer)]]/$V$24*$L$24</f>
        <v>195.1875</v>
      </c>
      <c r="M13" s="4">
        <f>Tabelle3[[#This Row],[Mythen (€)]]/$W$24*$M$24</f>
        <v>33841.182709081011</v>
      </c>
      <c r="N13" s="4">
        <f>Tabelle3[[#This Row],[Mythen (Backer)]]/$X$24*$N$24</f>
        <v>197.28629032258067</v>
      </c>
      <c r="O13" s="10">
        <f t="shared" si="2"/>
        <v>119000</v>
      </c>
      <c r="P13" s="10">
        <f t="shared" si="3"/>
        <v>860</v>
      </c>
      <c r="Q13" s="3">
        <v>81327</v>
      </c>
      <c r="R13" s="3">
        <v>350</v>
      </c>
      <c r="S13" s="10">
        <f t="shared" si="4"/>
        <v>74534.333333333328</v>
      </c>
      <c r="T13" s="10">
        <f t="shared" si="5"/>
        <v>459.8333333333332</v>
      </c>
      <c r="U13" s="50">
        <v>66650</v>
      </c>
      <c r="V13" s="50">
        <v>369</v>
      </c>
      <c r="W13" s="50">
        <v>48853</v>
      </c>
      <c r="X13" s="50">
        <v>282</v>
      </c>
      <c r="Y13" s="50">
        <f>Sonnenküste!Y179</f>
        <v>163194</v>
      </c>
      <c r="Z13" s="50">
        <f>Sonnenküste!Z179</f>
        <v>1140</v>
      </c>
      <c r="AA13" s="9">
        <f>Tabelle3[[#This Row],[Nedime (€)]]/C$24</f>
        <v>0.50664848825086217</v>
      </c>
      <c r="AB13" s="9">
        <f>Tabelle3[[#This Row],[Nedime (Backer)]]/D$24</f>
        <v>0.46397694524495675</v>
      </c>
      <c r="AC13" s="9"/>
      <c r="AD13" s="9"/>
      <c r="AE13" s="9">
        <f>Tabelle3[[#This Row],[Werkzeuge (€)]]/Q$24</f>
        <v>0.47687652822488436</v>
      </c>
      <c r="AF13" s="9">
        <f>Tabelle3[[#This Row],[Werkzeuge (Backer)]]/R$24</f>
        <v>0.46296296296296297</v>
      </c>
      <c r="AG13" s="9"/>
      <c r="AH13" s="9"/>
      <c r="AJ13" s="27" t="s">
        <v>86</v>
      </c>
      <c r="AK13" s="33" t="s">
        <v>87</v>
      </c>
      <c r="AL13" s="52"/>
      <c r="AM13" s="62"/>
      <c r="AN13" s="34" t="s">
        <v>131</v>
      </c>
      <c r="AO13" s="33" t="s">
        <v>132</v>
      </c>
      <c r="AP13" s="34" t="s">
        <v>92</v>
      </c>
      <c r="AQ13" s="28" t="s">
        <v>93</v>
      </c>
      <c r="AR13" s="34" t="s">
        <v>161</v>
      </c>
      <c r="AS13" s="28" t="s">
        <v>162</v>
      </c>
      <c r="AT13" s="16" t="s">
        <v>95</v>
      </c>
      <c r="AU13" s="23">
        <f>MIN(AJ14,AL14,AN14,AP14,AR14)</f>
        <v>2.903678004641459</v>
      </c>
      <c r="AV13" s="23">
        <f>MIN(AK14,AM14,AO14,AQ14,AS14)</f>
        <v>2.8154506437768241</v>
      </c>
    </row>
    <row r="14" spans="2:48" x14ac:dyDescent="0.25">
      <c r="B14">
        <v>11</v>
      </c>
      <c r="C14" s="3">
        <v>34703</v>
      </c>
      <c r="D14" s="3">
        <v>178</v>
      </c>
      <c r="E14" s="4">
        <f>Tabelle3[[#This Row],[Thorwal (€)]]/O24*E24</f>
        <v>29270.942491952781</v>
      </c>
      <c r="F14" s="4">
        <f>Tabelle3[[#This Row],[Thorwal (Backer)]]/P24*F24</f>
        <v>198.66412213740458</v>
      </c>
      <c r="G14" s="4">
        <f>Tabelle3[[#This Row],[Werkzeuge (€)]]/$Q$24*$G$24</f>
        <v>30365.134425152894</v>
      </c>
      <c r="H14" s="4">
        <f>Tabelle3[[#This Row],[Werkzeuge (Backer)]]/$R$24*$H$24</f>
        <v>163.40211640211641</v>
      </c>
      <c r="I14" s="11">
        <f>Tabelle3[[#This Row],[Mythos (€)]]/$S$24*$I$24</f>
        <v>41055.690630567231</v>
      </c>
      <c r="J14" s="11">
        <f>Tabelle3[[#This Row],[Mythos (Backer)]]/$T$24*$J$24</f>
        <v>235.56305672761363</v>
      </c>
      <c r="K14" s="4">
        <f>Tabelle3[[#This Row],[DSK (€)]]/$U$24*$I$24</f>
        <v>35065.161785126103</v>
      </c>
      <c r="L14" s="4">
        <f>Tabelle3[[#This Row],[DSK (Backer)]]/$V$24*$L$24</f>
        <v>204.17987804878047</v>
      </c>
      <c r="M14" s="4">
        <f>Tabelle3[[#This Row],[Mythen (€)]]/$W$24*$M$24</f>
        <v>34832.457194920054</v>
      </c>
      <c r="N14" s="4">
        <f>Tabelle3[[#This Row],[Mythen (Backer)]]/$X$24*$N$24</f>
        <v>203.58266129032256</v>
      </c>
      <c r="O14" s="3">
        <v>125000</v>
      </c>
      <c r="P14" s="3">
        <v>900</v>
      </c>
      <c r="Q14" s="3">
        <v>83062</v>
      </c>
      <c r="R14" s="3">
        <v>356</v>
      </c>
      <c r="S14" s="10">
        <f t="shared" si="4"/>
        <v>78610.666666666657</v>
      </c>
      <c r="T14" s="10">
        <f t="shared" si="5"/>
        <v>482.66666666666652</v>
      </c>
      <c r="U14" s="50">
        <v>69668</v>
      </c>
      <c r="V14" s="50">
        <v>386</v>
      </c>
      <c r="W14" s="50">
        <v>50284</v>
      </c>
      <c r="X14" s="50">
        <v>291</v>
      </c>
      <c r="Y14" s="50">
        <f>Sonnenküste!Y180</f>
        <v>166405</v>
      </c>
      <c r="Z14" s="50">
        <f>Sonnenküste!Z180</f>
        <v>1163</v>
      </c>
      <c r="AA14" s="9">
        <f>Tabelle3[[#This Row],[Nedime (€)]]/C$24</f>
        <v>0.55662843852754829</v>
      </c>
      <c r="AB14" s="9">
        <f>Tabelle3[[#This Row],[Nedime (Backer)]]/D$24</f>
        <v>0.51296829971181557</v>
      </c>
      <c r="AC14" s="9">
        <f>Tabelle3[[#This Row],[Thorwal (€)]]/O$24</f>
        <v>0.46949943847867159</v>
      </c>
      <c r="AD14" s="9">
        <f>Tabelle3[[#This Row],[Thorwal (Backer)]]/P$24</f>
        <v>0.5725190839694656</v>
      </c>
      <c r="AE14" s="9">
        <f>Tabelle3[[#This Row],[Werkzeuge (€)]]/Q$24</f>
        <v>0.48705003488897097</v>
      </c>
      <c r="AF14" s="9">
        <f>Tabelle3[[#This Row],[Werkzeuge (Backer)]]/R$24</f>
        <v>0.47089947089947087</v>
      </c>
      <c r="AG14" s="9"/>
      <c r="AH14" s="9"/>
      <c r="AJ14" s="27">
        <f>C24/C5</f>
        <v>3.7189811500835122</v>
      </c>
      <c r="AK14" s="33">
        <f>D24/D5</f>
        <v>4.2317073170731705</v>
      </c>
      <c r="AL14" s="52"/>
      <c r="AM14" s="62"/>
      <c r="AN14" s="53">
        <f>Q24/Q5</f>
        <v>3.4437421751948629</v>
      </c>
      <c r="AO14" s="57">
        <f>R24/R5</f>
        <v>3.6699029126213594</v>
      </c>
      <c r="AP14" s="53">
        <f>U24/U5</f>
        <v>2.903678004641459</v>
      </c>
      <c r="AQ14" s="54">
        <f>V24/V5</f>
        <v>2.8154506437768241</v>
      </c>
      <c r="AR14" s="53">
        <f>W24/W5</f>
        <v>3.6687184086091635</v>
      </c>
      <c r="AS14" s="54">
        <f>X24/X5</f>
        <v>3.420689655172414</v>
      </c>
      <c r="AT14" t="s">
        <v>96</v>
      </c>
      <c r="AU14" s="24">
        <f>MAX(AJ14,AL14,AN14,AP14,AR14)</f>
        <v>3.7189811500835122</v>
      </c>
      <c r="AV14" s="24">
        <f>MAX(,AK14,AM14,AO14,AQ14,AS14)</f>
        <v>4.2317073170731705</v>
      </c>
    </row>
    <row r="15" spans="2:48" ht="15.75" thickBot="1" x14ac:dyDescent="0.3">
      <c r="B15">
        <v>12</v>
      </c>
      <c r="C15" s="3">
        <v>36986</v>
      </c>
      <c r="D15" s="3">
        <v>193</v>
      </c>
      <c r="E15" s="11">
        <f>E14+($E$24-$E$14)/10</f>
        <v>32578.348242757504</v>
      </c>
      <c r="F15" s="11">
        <f>F14+($F$24-$F$14)/10</f>
        <v>213.4977099236641</v>
      </c>
      <c r="G15" s="4">
        <f>Tabelle3[[#This Row],[Werkzeuge (€)]]/$Q$24*$G$24</f>
        <v>31495.482787130364</v>
      </c>
      <c r="H15" s="4">
        <f>Tabelle3[[#This Row],[Werkzeuge (Backer)]]/$R$24*$H$24</f>
        <v>170.28703703703704</v>
      </c>
      <c r="I15" s="11">
        <f>Tabelle3[[#This Row],[Mythos (€)]]/$S$24*$I$24</f>
        <v>43184.621567510505</v>
      </c>
      <c r="J15" s="11">
        <f>Tabelle3[[#This Row],[Mythos (Backer)]]/$T$24*$J$24</f>
        <v>246.70675105485225</v>
      </c>
      <c r="K15" s="4">
        <f>Tabelle3[[#This Row],[DSK (€)]]/$U$24*$I$24</f>
        <v>35879.530387186358</v>
      </c>
      <c r="L15" s="4">
        <f>Tabelle3[[#This Row],[DSK (Backer)]]/$V$24*$L$24</f>
        <v>208.94054878048783</v>
      </c>
      <c r="M15" s="4">
        <f>Tabelle3[[#This Row],[Mythen (€)]]/$W$24*$M$24</f>
        <v>37557.596137820692</v>
      </c>
      <c r="N15" s="4">
        <f>Tabelle3[[#This Row],[Mythen (Backer)]]/$X$24*$N$24</f>
        <v>217.57459677419357</v>
      </c>
      <c r="O15" s="10">
        <f>O14+($O$24-$O$14)/10</f>
        <v>139124.1</v>
      </c>
      <c r="P15" s="10">
        <f>P14+($P$24-$P$14)/10</f>
        <v>967.2</v>
      </c>
      <c r="Q15" s="3">
        <v>86154</v>
      </c>
      <c r="R15" s="3">
        <v>371</v>
      </c>
      <c r="S15" s="10">
        <f t="shared" si="4"/>
        <v>82686.999999999985</v>
      </c>
      <c r="T15" s="10">
        <f t="shared" si="5"/>
        <v>505.49999999999983</v>
      </c>
      <c r="U15" s="50">
        <v>71286</v>
      </c>
      <c r="V15" s="50">
        <v>395</v>
      </c>
      <c r="W15" s="50">
        <v>54218</v>
      </c>
      <c r="X15" s="50">
        <v>311</v>
      </c>
      <c r="Y15" s="50">
        <f>Sonnenküste!Y181</f>
        <v>169780</v>
      </c>
      <c r="Z15" s="50">
        <f>Sonnenküste!Z181</f>
        <v>1189</v>
      </c>
      <c r="AA15" s="9">
        <f>Tabelle3[[#This Row],[Nedime (€)]]/C$24</f>
        <v>0.59324725318790605</v>
      </c>
      <c r="AB15" s="9">
        <f>Tabelle3[[#This Row],[Nedime (Backer)]]/D$24</f>
        <v>0.55619596541786742</v>
      </c>
      <c r="AC15" s="9"/>
      <c r="AD15" s="9"/>
      <c r="AE15" s="9">
        <f>Tabelle3[[#This Row],[Werkzeuge (€)]]/Q$24</f>
        <v>0.50518057241367176</v>
      </c>
      <c r="AF15" s="9">
        <f>Tabelle3[[#This Row],[Werkzeuge (Backer)]]/R$24</f>
        <v>0.49074074074074076</v>
      </c>
      <c r="AG15" s="9"/>
      <c r="AH15" s="9"/>
      <c r="AJ15" s="29"/>
      <c r="AK15" s="35">
        <f>AJ14-AK14</f>
        <v>-0.51272616698965834</v>
      </c>
      <c r="AL15" s="63"/>
      <c r="AM15" s="64"/>
      <c r="AN15" s="58"/>
      <c r="AO15" s="59">
        <f>AN14-AO14</f>
        <v>-0.22616073742649645</v>
      </c>
      <c r="AP15" s="36"/>
      <c r="AQ15" s="30">
        <f>AP14-AQ14</f>
        <v>8.8227360864634896E-2</v>
      </c>
      <c r="AR15" s="36"/>
      <c r="AS15" s="30">
        <f>AR14-AS14</f>
        <v>0.24802875343674957</v>
      </c>
    </row>
    <row r="16" spans="2:48" ht="15.75" thickBot="1" x14ac:dyDescent="0.3">
      <c r="B16">
        <v>13</v>
      </c>
      <c r="C16" s="3">
        <v>37704</v>
      </c>
      <c r="D16" s="3">
        <v>197</v>
      </c>
      <c r="E16" s="11">
        <f t="shared" ref="E16:E23" si="6">E15+($E$24-$E$14)/10</f>
        <v>35885.753993562226</v>
      </c>
      <c r="F16" s="11">
        <f t="shared" ref="F16:F23" si="7">F15+($F$24-$F$14)/10</f>
        <v>228.33129770992366</v>
      </c>
      <c r="G16" s="4">
        <f>Tabelle3[[#This Row],[Werkzeuge (€)]]/$Q$24*$G$24</f>
        <v>32558.56591670038</v>
      </c>
      <c r="H16" s="4">
        <f>Tabelle3[[#This Row],[Werkzeuge (Backer)]]/$R$24*$H$24</f>
        <v>177.17195767195767</v>
      </c>
      <c r="I16" s="11">
        <f>Tabelle3[[#This Row],[Mythos (€)]]/$S$24*$I$24</f>
        <v>45313.552504453779</v>
      </c>
      <c r="J16" s="11">
        <f>Tabelle3[[#This Row],[Mythos (Backer)]]/$T$24*$J$24</f>
        <v>257.85044538209087</v>
      </c>
      <c r="K16" s="4">
        <f>Tabelle3[[#This Row],[DSK (€)]]/$U$24*$I$24</f>
        <v>37285.297695934387</v>
      </c>
      <c r="L16" s="4">
        <f>Tabelle3[[#This Row],[DSK (Backer)]]/$V$24*$L$24</f>
        <v>216.875</v>
      </c>
      <c r="M16" s="4">
        <f>Tabelle3[[#This Row],[Mythen (€)]]/$W$24*$M$24</f>
        <v>38504.536894034507</v>
      </c>
      <c r="N16" s="4">
        <f>Tabelle3[[#This Row],[Mythen (Backer)]]/$X$24*$N$24</f>
        <v>223.17137096774195</v>
      </c>
      <c r="O16" s="10">
        <f t="shared" ref="O16:O23" si="8">O15+($O$24-$O$14)/10</f>
        <v>153248.20000000001</v>
      </c>
      <c r="P16" s="10">
        <f t="shared" ref="P16:P23" si="9">P15+($P$24-$P$14)/10</f>
        <v>1034.4000000000001</v>
      </c>
      <c r="Q16" s="3">
        <v>89062</v>
      </c>
      <c r="R16" s="3">
        <v>386</v>
      </c>
      <c r="S16" s="10">
        <f t="shared" si="4"/>
        <v>86763.333333333314</v>
      </c>
      <c r="T16" s="10">
        <f t="shared" si="5"/>
        <v>528.33333333333314</v>
      </c>
      <c r="U16" s="50">
        <v>74079</v>
      </c>
      <c r="V16" s="50">
        <v>410</v>
      </c>
      <c r="W16" s="50">
        <v>55585</v>
      </c>
      <c r="X16" s="50">
        <v>319</v>
      </c>
      <c r="Y16" s="50">
        <f>Sonnenküste!Y182</f>
        <v>172436</v>
      </c>
      <c r="Z16" s="50">
        <f>Sonnenküste!Z182</f>
        <v>1205</v>
      </c>
      <c r="AA16" s="9">
        <f>Tabelle3[[#This Row],[Nedime (€)]]/C$24</f>
        <v>0.60476381425936321</v>
      </c>
      <c r="AB16" s="9">
        <f>Tabelle3[[#This Row],[Nedime (Backer)]]/D$24</f>
        <v>0.56772334293948123</v>
      </c>
      <c r="AC16" s="9"/>
      <c r="AD16" s="9"/>
      <c r="AE16" s="9">
        <f>Tabelle3[[#This Row],[Werkzeuge (€)]]/Q$24</f>
        <v>0.5222321904996452</v>
      </c>
      <c r="AF16" s="9">
        <f>Tabelle3[[#This Row],[Werkzeuge (Backer)]]/R$24</f>
        <v>0.51058201058201058</v>
      </c>
      <c r="AG16" s="9"/>
      <c r="AH16" s="9"/>
      <c r="AK16" s="8"/>
      <c r="AM16" s="8"/>
      <c r="AO16" s="20"/>
      <c r="AQ16" s="8"/>
      <c r="AS16" s="8"/>
    </row>
    <row r="17" spans="2:49" x14ac:dyDescent="0.25">
      <c r="B17">
        <v>14</v>
      </c>
      <c r="C17" s="3">
        <v>38541</v>
      </c>
      <c r="D17" s="3">
        <v>205</v>
      </c>
      <c r="E17" s="11">
        <f t="shared" si="6"/>
        <v>39193.159744366945</v>
      </c>
      <c r="F17" s="11">
        <f t="shared" si="7"/>
        <v>243.16488549618322</v>
      </c>
      <c r="G17" s="4">
        <f>Tabelle3[[#This Row],[Werkzeuge (€)]]/$Q$24*$G$24</f>
        <v>34038.035457749167</v>
      </c>
      <c r="H17" s="4">
        <f>Tabelle3[[#This Row],[Werkzeuge (Backer)]]/$R$24*$H$24</f>
        <v>184.97486772486772</v>
      </c>
      <c r="I17" s="11">
        <f>Tabelle3[[#This Row],[Mythos (€)]]/$S$24*$I$24</f>
        <v>47442.483441397053</v>
      </c>
      <c r="J17" s="11">
        <f>Tabelle3[[#This Row],[Mythos (Backer)]]/$T$24*$J$24</f>
        <v>268.99413970932949</v>
      </c>
      <c r="K17" s="4">
        <f>Tabelle3[[#This Row],[DSK (€)]]/$U$24*$I$24</f>
        <v>37955.717336196598</v>
      </c>
      <c r="L17" s="4">
        <f>Tabelle3[[#This Row],[DSK (Backer)]]/$V$24*$L$24</f>
        <v>220.57774390243901</v>
      </c>
      <c r="M17" s="4">
        <f>Tabelle3[[#This Row],[Mythen (€)]]/$W$24*$M$24</f>
        <v>39940.534105176608</v>
      </c>
      <c r="N17" s="4">
        <f>Tabelle3[[#This Row],[Mythen (Backer)]]/$X$24*$N$24</f>
        <v>230.86693548387095</v>
      </c>
      <c r="O17" s="10">
        <f t="shared" si="8"/>
        <v>167372.30000000002</v>
      </c>
      <c r="P17" s="10">
        <f t="shared" si="9"/>
        <v>1101.6000000000001</v>
      </c>
      <c r="Q17" s="3">
        <v>93109</v>
      </c>
      <c r="R17" s="3">
        <v>403</v>
      </c>
      <c r="S17" s="10">
        <f t="shared" si="4"/>
        <v>90839.666666666642</v>
      </c>
      <c r="T17" s="10">
        <f t="shared" si="5"/>
        <v>551.16666666666652</v>
      </c>
      <c r="U17" s="50">
        <v>75411</v>
      </c>
      <c r="V17" s="50">
        <v>417</v>
      </c>
      <c r="W17" s="50">
        <v>57658</v>
      </c>
      <c r="X17" s="50">
        <v>330</v>
      </c>
      <c r="Y17" s="50">
        <f>Sonnenküste!Y183</f>
        <v>176629</v>
      </c>
      <c r="Z17" s="50">
        <f>Sonnenküste!Z183</f>
        <v>1232</v>
      </c>
      <c r="AA17" s="9">
        <f>Tabelle3[[#This Row],[Nedime (€)]]/C$24</f>
        <v>0.61818910899029589</v>
      </c>
      <c r="AB17" s="9">
        <f>Tabelle3[[#This Row],[Nedime (Backer)]]/D$24</f>
        <v>0.59077809798270897</v>
      </c>
      <c r="AC17" s="9"/>
      <c r="AD17" s="9"/>
      <c r="AE17" s="9">
        <f>Tabelle3[[#This Row],[Werkzeuge (€)]]/Q$24</f>
        <v>0.54596255445904507</v>
      </c>
      <c r="AF17" s="9">
        <f>Tabelle3[[#This Row],[Werkzeuge (Backer)]]/R$24</f>
        <v>0.53306878306878303</v>
      </c>
      <c r="AG17" s="9"/>
      <c r="AH17" s="9"/>
      <c r="AJ17" s="25" t="s">
        <v>173</v>
      </c>
      <c r="AK17" s="31" t="s">
        <v>173</v>
      </c>
      <c r="AL17" s="60"/>
      <c r="AM17" s="61"/>
      <c r="AN17" s="55" t="s">
        <v>173</v>
      </c>
      <c r="AO17" s="56" t="s">
        <v>173</v>
      </c>
      <c r="AP17" s="32" t="s">
        <v>173</v>
      </c>
      <c r="AQ17" s="26" t="s">
        <v>173</v>
      </c>
      <c r="AR17" s="32" t="s">
        <v>173</v>
      </c>
      <c r="AS17" s="26" t="s">
        <v>173</v>
      </c>
    </row>
    <row r="18" spans="2:49" x14ac:dyDescent="0.25">
      <c r="B18">
        <v>15</v>
      </c>
      <c r="C18" s="3">
        <v>40401</v>
      </c>
      <c r="D18" s="3">
        <v>214</v>
      </c>
      <c r="E18" s="11">
        <f t="shared" si="6"/>
        <v>42500.565495171664</v>
      </c>
      <c r="F18" s="11">
        <f t="shared" si="7"/>
        <v>257.99847328244277</v>
      </c>
      <c r="G18" s="4">
        <f>Tabelle3[[#This Row],[Werkzeuge (€)]]/$Q$24*$G$24</f>
        <v>35630.832292527899</v>
      </c>
      <c r="H18" s="4">
        <f>Tabelle3[[#This Row],[Werkzeuge (Backer)]]/$R$24*$H$24</f>
        <v>193.69576719576722</v>
      </c>
      <c r="I18" s="11">
        <f>Tabelle3[[#This Row],[Mythos (€)]]/$S$24*$I$24</f>
        <v>49571.414378340327</v>
      </c>
      <c r="J18" s="11">
        <f>Tabelle3[[#This Row],[Mythos (Backer)]]/$T$24*$J$24</f>
        <v>280.13783403656817</v>
      </c>
      <c r="K18" s="4">
        <f>Tabelle3[[#This Row],[DSK (€)]]/$U$24*$I$24</f>
        <v>38763.542803629673</v>
      </c>
      <c r="L18" s="4">
        <f>Tabelle3[[#This Row],[DSK (Backer)]]/$V$24*$L$24</f>
        <v>225.86737804878047</v>
      </c>
      <c r="M18" s="4">
        <f>Tabelle3[[#This Row],[Mythen (€)]]/$W$24*$M$24</f>
        <v>40976.835035166274</v>
      </c>
      <c r="N18" s="4">
        <f>Tabelle3[[#This Row],[Mythen (Backer)]]/$X$24*$N$24</f>
        <v>235.76411290322582</v>
      </c>
      <c r="O18" s="10">
        <f t="shared" si="8"/>
        <v>181496.40000000002</v>
      </c>
      <c r="P18" s="10">
        <f t="shared" si="9"/>
        <v>1168.8000000000002</v>
      </c>
      <c r="Q18" s="3">
        <v>97466</v>
      </c>
      <c r="R18" s="3">
        <v>422</v>
      </c>
      <c r="S18" s="10">
        <f t="shared" si="4"/>
        <v>94915.999999999971</v>
      </c>
      <c r="T18" s="10">
        <f t="shared" si="5"/>
        <v>573.99999999999989</v>
      </c>
      <c r="U18" s="50">
        <v>77016</v>
      </c>
      <c r="V18" s="50">
        <v>427</v>
      </c>
      <c r="W18" s="50">
        <v>59154</v>
      </c>
      <c r="X18" s="50">
        <v>337</v>
      </c>
      <c r="Y18" s="50">
        <f>Sonnenküste!Y184</f>
        <v>188273</v>
      </c>
      <c r="Z18" s="50">
        <f>Sonnenküste!Z184</f>
        <v>1313</v>
      </c>
      <c r="AA18" s="9">
        <f>Tabelle3[[#This Row],[Nedime (€)]]/C$24</f>
        <v>0.64802309728125751</v>
      </c>
      <c r="AB18" s="9">
        <f>Tabelle3[[#This Row],[Nedime (Backer)]]/D$24</f>
        <v>0.61671469740634011</v>
      </c>
      <c r="AC18" s="9"/>
      <c r="AD18" s="9"/>
      <c r="AE18" s="9">
        <f>Tabelle3[[#This Row],[Werkzeuge (€)]]/Q$24</f>
        <v>0.57151066312499632</v>
      </c>
      <c r="AF18" s="9">
        <f>Tabelle3[[#This Row],[Werkzeuge (Backer)]]/R$24</f>
        <v>0.55820105820105825</v>
      </c>
      <c r="AG18" s="9"/>
      <c r="AH18" s="9"/>
      <c r="AJ18" s="27" t="s">
        <v>86</v>
      </c>
      <c r="AK18" s="33" t="s">
        <v>87</v>
      </c>
      <c r="AL18" s="52"/>
      <c r="AM18" s="62"/>
      <c r="AN18" s="34" t="s">
        <v>131</v>
      </c>
      <c r="AO18" s="33" t="s">
        <v>132</v>
      </c>
      <c r="AP18" s="34" t="s">
        <v>92</v>
      </c>
      <c r="AQ18" s="28" t="s">
        <v>93</v>
      </c>
      <c r="AR18" s="34" t="s">
        <v>161</v>
      </c>
      <c r="AS18" s="28" t="s">
        <v>162</v>
      </c>
      <c r="AT18" s="16" t="s">
        <v>95</v>
      </c>
      <c r="AU18" s="23">
        <f>MIN(AJ19,AL19,AN19,AP19,AR19)</f>
        <v>2.7360236785722174</v>
      </c>
      <c r="AV18" s="23">
        <f>MIN(AK19,AM19,AO19,AQ19,AS19)</f>
        <v>2.6451612903225805</v>
      </c>
    </row>
    <row r="19" spans="2:49" x14ac:dyDescent="0.25">
      <c r="B19">
        <v>16</v>
      </c>
      <c r="C19" s="3">
        <v>42277</v>
      </c>
      <c r="D19" s="3">
        <v>224</v>
      </c>
      <c r="E19" s="11">
        <f t="shared" si="6"/>
        <v>45807.971245976383</v>
      </c>
      <c r="F19" s="11">
        <f t="shared" si="7"/>
        <v>272.83206106870233</v>
      </c>
      <c r="G19" s="4">
        <f>Tabelle3[[#This Row],[Werkzeuge (€)]]/$Q$24*$G$24</f>
        <v>37819.145777261772</v>
      </c>
      <c r="H19" s="4">
        <f>Tabelle3[[#This Row],[Werkzeuge (Backer)]]/$R$24*$H$24</f>
        <v>204.25264550264549</v>
      </c>
      <c r="I19" s="11">
        <f>Tabelle3[[#This Row],[Mythos (€)]]/$S$24*$I$24</f>
        <v>51700.345315283601</v>
      </c>
      <c r="J19" s="11">
        <f>Tabelle3[[#This Row],[Mythos (Backer)]]/$T$24*$J$24</f>
        <v>291.28152836380679</v>
      </c>
      <c r="K19" s="4">
        <f>Tabelle3[[#This Row],[DSK (€)]]/$U$24*$I$24</f>
        <v>40290.106443956465</v>
      </c>
      <c r="L19" s="4">
        <f>Tabelle3[[#This Row],[DSK (Backer)]]/$V$24*$L$24</f>
        <v>234.85975609756099</v>
      </c>
      <c r="M19" s="4">
        <f>Tabelle3[[#This Row],[Mythen (€)]]/$W$24*$M$24</f>
        <v>42838.851679425781</v>
      </c>
      <c r="N19" s="4">
        <f>Tabelle3[[#This Row],[Mythen (Backer)]]/$X$24*$N$24</f>
        <v>244.15927419354838</v>
      </c>
      <c r="O19" s="10">
        <f t="shared" si="8"/>
        <v>195620.50000000003</v>
      </c>
      <c r="P19" s="10">
        <f t="shared" si="9"/>
        <v>1236.0000000000002</v>
      </c>
      <c r="Q19" s="3">
        <v>103452</v>
      </c>
      <c r="R19" s="3">
        <v>445</v>
      </c>
      <c r="S19" s="10">
        <f t="shared" si="4"/>
        <v>98992.333333333299</v>
      </c>
      <c r="T19" s="10">
        <f t="shared" si="5"/>
        <v>596.83333333333326</v>
      </c>
      <c r="U19" s="50">
        <v>80049</v>
      </c>
      <c r="V19" s="50">
        <v>444</v>
      </c>
      <c r="W19" s="50">
        <v>61842</v>
      </c>
      <c r="X19" s="50">
        <v>349</v>
      </c>
      <c r="Y19" s="50">
        <f>Sonnenküste!Y185</f>
        <v>193264</v>
      </c>
      <c r="Z19" s="50">
        <f>Sonnenküste!Z185</f>
        <v>1350</v>
      </c>
      <c r="AA19" s="9">
        <f>Tabelle3[[#This Row],[Nedime (€)]]/C$24</f>
        <v>0.67811372203063602</v>
      </c>
      <c r="AB19" s="9">
        <f>Tabelle3[[#This Row],[Nedime (Backer)]]/D$24</f>
        <v>0.64553314121037464</v>
      </c>
      <c r="AC19" s="9"/>
      <c r="AD19" s="9"/>
      <c r="AE19" s="9">
        <f>Tabelle3[[#This Row],[Werkzeuge (€)]]/Q$24</f>
        <v>0.60661072703924568</v>
      </c>
      <c r="AF19" s="9">
        <f>Tabelle3[[#This Row],[Werkzeuge (Backer)]]/R$24</f>
        <v>0.58862433862433861</v>
      </c>
      <c r="AG19" s="9"/>
      <c r="AH19" s="9"/>
      <c r="AJ19" s="27">
        <f>C24/C6</f>
        <v>3.5274980196899399</v>
      </c>
      <c r="AK19" s="33">
        <f>D24/D6</f>
        <v>3.8555555555555556</v>
      </c>
      <c r="AL19" s="52"/>
      <c r="AM19" s="62"/>
      <c r="AN19" s="53">
        <f>Q24/Q6</f>
        <v>3.1639672733344466</v>
      </c>
      <c r="AO19" s="57">
        <f>R24/R6</f>
        <v>3.375</v>
      </c>
      <c r="AP19" s="53">
        <f>U24/U6</f>
        <v>2.7360236785722174</v>
      </c>
      <c r="AQ19" s="54">
        <f>V24/V6</f>
        <v>2.6451612903225805</v>
      </c>
      <c r="AR19" s="53">
        <f>W24/W6</f>
        <v>3.252538758989556</v>
      </c>
      <c r="AS19" s="54">
        <f>X24/X6</f>
        <v>3.0617283950617282</v>
      </c>
      <c r="AT19" t="s">
        <v>96</v>
      </c>
      <c r="AU19" s="24">
        <f>MAX(AJ19,AL19,AN19,AP19,AR19)</f>
        <v>3.5274980196899399</v>
      </c>
      <c r="AV19" s="24">
        <f>MAX(,AK19,AM19,AO19,AQ19,AS19)</f>
        <v>3.8555555555555556</v>
      </c>
    </row>
    <row r="20" spans="2:49" ht="15.75" thickBot="1" x14ac:dyDescent="0.3">
      <c r="B20">
        <v>17</v>
      </c>
      <c r="C20" s="3">
        <v>44039</v>
      </c>
      <c r="D20" s="3">
        <v>233</v>
      </c>
      <c r="E20" s="11">
        <f t="shared" si="6"/>
        <v>49115.376996781102</v>
      </c>
      <c r="F20" s="11">
        <f t="shared" si="7"/>
        <v>287.66564885496189</v>
      </c>
      <c r="G20" s="12">
        <f>Tabelle3[[#This Row],[Werkzeuge (€)]]/$Q$24*$G$24</f>
        <v>40047.306600758762</v>
      </c>
      <c r="H20" s="4">
        <f>Tabelle3[[#This Row],[Werkzeuge (Backer)]]/$R$24*$H$24</f>
        <v>216.18650793650795</v>
      </c>
      <c r="I20" s="11">
        <f>Tabelle3[[#This Row],[Mythos (€)]]/$S$24*$I$24</f>
        <v>53829.276252226875</v>
      </c>
      <c r="J20" s="11">
        <f>Tabelle3[[#This Row],[Mythos (Backer)]]/$T$24*$J$24</f>
        <v>302.42522269104546</v>
      </c>
      <c r="K20" s="4">
        <f>Tabelle3[[#This Row],[DSK (€)]]/$U$24*$I$24</f>
        <v>43704.616083249915</v>
      </c>
      <c r="L20" s="4">
        <f>Tabelle3[[#This Row],[DSK (Backer)]]/$V$24*$L$24</f>
        <v>257.60518292682929</v>
      </c>
      <c r="M20" s="4">
        <f>Tabelle3[[#This Row],[Mythen (€)]]/$W$24*$M$24</f>
        <v>44512.449972778079</v>
      </c>
      <c r="N20" s="4">
        <f>Tabelle3[[#This Row],[Mythen (Backer)]]/$X$24*$N$24</f>
        <v>253.95362903225805</v>
      </c>
      <c r="O20" s="10">
        <f t="shared" si="8"/>
        <v>209744.60000000003</v>
      </c>
      <c r="P20" s="10">
        <f t="shared" si="9"/>
        <v>1303.2000000000003</v>
      </c>
      <c r="Q20" s="13">
        <v>109547</v>
      </c>
      <c r="R20" s="13">
        <v>471</v>
      </c>
      <c r="S20" s="10">
        <f t="shared" si="4"/>
        <v>103068.66666666663</v>
      </c>
      <c r="T20" s="10">
        <f t="shared" si="5"/>
        <v>619.66666666666663</v>
      </c>
      <c r="U20" s="50">
        <v>86833</v>
      </c>
      <c r="V20" s="50">
        <v>487</v>
      </c>
      <c r="W20" s="50">
        <v>64258</v>
      </c>
      <c r="X20" s="50">
        <v>363</v>
      </c>
      <c r="Y20" s="50">
        <f>Sonnenküste!Y186</f>
        <v>198261</v>
      </c>
      <c r="Z20" s="50">
        <f>Sonnenküste!Z186</f>
        <v>1384</v>
      </c>
      <c r="AA20" s="14">
        <f>Tabelle3[[#This Row],[Nedime (€)]]/C$24</f>
        <v>0.70637581201379418</v>
      </c>
      <c r="AB20" s="9">
        <f>Tabelle3[[#This Row],[Nedime (Backer)]]/D$24</f>
        <v>0.67146974063400577</v>
      </c>
      <c r="AC20" s="9"/>
      <c r="AD20" s="9"/>
      <c r="AE20" s="14">
        <f>Tabelle3[[#This Row],[Werkzeuge (€)]]/Q$24</f>
        <v>0.64234993344708902</v>
      </c>
      <c r="AF20" s="14">
        <f>Tabelle3[[#This Row],[Werkzeuge (Backer)]]/R$24</f>
        <v>0.62301587301587302</v>
      </c>
      <c r="AG20" s="15"/>
      <c r="AH20" s="15"/>
      <c r="AJ20" s="29"/>
      <c r="AK20" s="35">
        <f>AJ19-AK19</f>
        <v>-0.3280575358656157</v>
      </c>
      <c r="AL20" s="63"/>
      <c r="AM20" s="64"/>
      <c r="AN20" s="58"/>
      <c r="AO20" s="59">
        <f>AN19-AO19</f>
        <v>-0.21103272666555339</v>
      </c>
      <c r="AP20" s="36"/>
      <c r="AQ20" s="30">
        <f>AP19-AQ19</f>
        <v>9.0862388249636883E-2</v>
      </c>
      <c r="AR20" s="36"/>
      <c r="AS20" s="30">
        <f>AR19-AS19</f>
        <v>0.1908103639278278</v>
      </c>
    </row>
    <row r="21" spans="2:49" ht="15.75" thickBot="1" x14ac:dyDescent="0.3">
      <c r="B21">
        <v>18</v>
      </c>
      <c r="C21" s="3">
        <v>46661</v>
      </c>
      <c r="D21" s="3">
        <v>250</v>
      </c>
      <c r="E21" s="11">
        <f t="shared" si="6"/>
        <v>52422.782747585821</v>
      </c>
      <c r="F21" s="11">
        <f t="shared" si="7"/>
        <v>302.49923664122144</v>
      </c>
      <c r="G21" s="12">
        <f>Tabelle3[[#This Row],[Werkzeuge (€)]]/$Q$24*$G$24</f>
        <v>42194.310459068496</v>
      </c>
      <c r="H21" s="4">
        <f>Tabelle3[[#This Row],[Werkzeuge (Backer)]]/$R$24*$H$24</f>
        <v>229.95634920634919</v>
      </c>
      <c r="I21" s="11">
        <f>Tabelle3[[#This Row],[Mythos (€)]]/$S$24*$I$24</f>
        <v>55958.207189170149</v>
      </c>
      <c r="J21" s="11">
        <f>Tabelle3[[#This Row],[Mythos (Backer)]]/$T$24*$J$24</f>
        <v>313.56891701828408</v>
      </c>
      <c r="K21" s="4">
        <f>Tabelle3[[#This Row],[DSK (€)]]/$U$24*$I$24</f>
        <v>46292.174169276972</v>
      </c>
      <c r="L21" s="4">
        <f>Tabelle3[[#This Row],[DSK (Backer)]]/$V$24*$L$24</f>
        <v>271.88719512195121</v>
      </c>
      <c r="M21" s="4">
        <f>Tabelle3[[#This Row],[Mythen (€)]]/$W$24*$M$24</f>
        <v>46238.001855534945</v>
      </c>
      <c r="N21" s="4">
        <f>Tabelle3[[#This Row],[Mythen (Backer)]]/$X$24*$N$24</f>
        <v>263.74798387096774</v>
      </c>
      <c r="O21" s="10">
        <f t="shared" si="8"/>
        <v>223868.70000000004</v>
      </c>
      <c r="P21" s="10">
        <f t="shared" si="9"/>
        <v>1370.4000000000003</v>
      </c>
      <c r="Q21" s="13">
        <v>115420</v>
      </c>
      <c r="R21" s="13">
        <v>501</v>
      </c>
      <c r="S21" s="10">
        <f t="shared" si="4"/>
        <v>107144.99999999996</v>
      </c>
      <c r="T21" s="10">
        <f t="shared" si="5"/>
        <v>642.5</v>
      </c>
      <c r="U21" s="50">
        <v>91974</v>
      </c>
      <c r="V21" s="50">
        <v>514</v>
      </c>
      <c r="W21" s="50">
        <v>66749</v>
      </c>
      <c r="X21" s="50">
        <v>377</v>
      </c>
      <c r="Y21" s="50">
        <f>Sonnenküste!Y187</f>
        <v>203119</v>
      </c>
      <c r="Z21" s="50">
        <f>Sonnenküste!Z187</f>
        <v>1419</v>
      </c>
      <c r="AA21" s="14">
        <f>Tabelle3[[#This Row],[Nedime (€)]]/C$24</f>
        <v>0.74843211163685941</v>
      </c>
      <c r="AB21" s="9">
        <f>Tabelle3[[#This Row],[Nedime (Backer)]]/D$24</f>
        <v>0.72046109510086453</v>
      </c>
      <c r="AC21" s="9"/>
      <c r="AD21" s="9"/>
      <c r="AE21" s="14">
        <f>Tabelle3[[#This Row],[Werkzeuge (€)]]/Q$24</f>
        <v>0.67678740009733729</v>
      </c>
      <c r="AF21" s="14">
        <f>Tabelle3[[#This Row],[Werkzeuge (Backer)]]/R$24</f>
        <v>0.66269841269841268</v>
      </c>
      <c r="AG21" s="15"/>
      <c r="AH21" s="15"/>
    </row>
    <row r="22" spans="2:49" x14ac:dyDescent="0.25">
      <c r="B22">
        <v>19</v>
      </c>
      <c r="C22" s="3">
        <v>49576</v>
      </c>
      <c r="D22" s="3">
        <v>267</v>
      </c>
      <c r="E22" s="11">
        <f t="shared" si="6"/>
        <v>55730.18849839054</v>
      </c>
      <c r="F22" s="11">
        <f t="shared" si="7"/>
        <v>317.332824427481</v>
      </c>
      <c r="G22" s="12">
        <f>Tabelle3[[#This Row],[Werkzeuge (€)]]/$Q$24*$G$24</f>
        <v>45163.485554793275</v>
      </c>
      <c r="H22" s="4">
        <f>Tabelle3[[#This Row],[Werkzeuge (Backer)]]/$R$24*$H$24</f>
        <v>246.48015873015873</v>
      </c>
      <c r="I22" s="11">
        <f>Tabelle3[[#This Row],[Mythos (€)]]/$S$24*$I$24</f>
        <v>58087.138126113423</v>
      </c>
      <c r="J22" s="11">
        <f>Tabelle3[[#This Row],[Mythos (Backer)]]/$T$24*$J$24</f>
        <v>324.71261134552276</v>
      </c>
      <c r="K22" s="4">
        <f>Tabelle3[[#This Row],[DSK (€)]]/$U$24*$I$24</f>
        <v>50920.686940937128</v>
      </c>
      <c r="L22" s="4">
        <f>Tabelle3[[#This Row],[DSK (Backer)]]/$V$24*$L$24</f>
        <v>290.40091463414637</v>
      </c>
      <c r="M22" s="4">
        <f>Tabelle3[[#This Row],[Mythen (€)]]/$W$24*$M$24</f>
        <v>49482.676692481196</v>
      </c>
      <c r="N22" s="4">
        <f>Tabelle3[[#This Row],[Mythen (Backer)]]/$X$24*$N$24</f>
        <v>280.53830645161293</v>
      </c>
      <c r="O22" s="10">
        <f t="shared" si="8"/>
        <v>237992.80000000005</v>
      </c>
      <c r="P22" s="10">
        <f t="shared" si="9"/>
        <v>1437.6000000000004</v>
      </c>
      <c r="Q22" s="13">
        <v>123542</v>
      </c>
      <c r="R22" s="13">
        <v>537</v>
      </c>
      <c r="S22" s="10">
        <f t="shared" si="4"/>
        <v>111221.33333333328</v>
      </c>
      <c r="T22" s="10">
        <f t="shared" si="5"/>
        <v>665.33333333333337</v>
      </c>
      <c r="U22" s="50">
        <v>101170</v>
      </c>
      <c r="V22" s="50">
        <v>549</v>
      </c>
      <c r="W22" s="50">
        <v>71433</v>
      </c>
      <c r="X22" s="50">
        <v>401</v>
      </c>
      <c r="Y22" s="50">
        <f>Sonnenküste!Y188</f>
        <v>212186</v>
      </c>
      <c r="Z22" s="50">
        <f>Sonnenküste!Z188</f>
        <v>1483</v>
      </c>
      <c r="AA22" s="14">
        <f>Tabelle3[[#This Row],[Nedime (€)]]/C$24</f>
        <v>0.79518806640468365</v>
      </c>
      <c r="AB22" s="9">
        <f>Tabelle3[[#This Row],[Nedime (Backer)]]/D$24</f>
        <v>0.7694524495677233</v>
      </c>
      <c r="AC22" s="9"/>
      <c r="AD22" s="9"/>
      <c r="AE22" s="14">
        <f>Tabelle3[[#This Row],[Werkzeuge (€)]]/Q$24</f>
        <v>0.72441231140898665</v>
      </c>
      <c r="AF22" s="14">
        <f>Tabelle3[[#This Row],[Werkzeuge (Backer)]]/R$24</f>
        <v>0.71031746031746035</v>
      </c>
      <c r="AG22" s="15"/>
      <c r="AH22" s="15"/>
      <c r="AJ22" s="25" t="s">
        <v>174</v>
      </c>
      <c r="AK22" s="31" t="s">
        <v>174</v>
      </c>
      <c r="AL22" s="60"/>
      <c r="AM22" s="61"/>
      <c r="AN22" s="55" t="s">
        <v>174</v>
      </c>
      <c r="AO22" s="56" t="s">
        <v>174</v>
      </c>
      <c r="AP22" s="32" t="s">
        <v>174</v>
      </c>
      <c r="AQ22" s="26" t="s">
        <v>174</v>
      </c>
      <c r="AR22" s="32" t="s">
        <v>174</v>
      </c>
      <c r="AS22" s="26" t="s">
        <v>174</v>
      </c>
    </row>
    <row r="23" spans="2:49" s="16" customFormat="1" x14ac:dyDescent="0.25">
      <c r="B23" s="16">
        <v>20</v>
      </c>
      <c r="C23" s="13">
        <v>54612</v>
      </c>
      <c r="D23" s="13">
        <v>300</v>
      </c>
      <c r="E23" s="17">
        <f t="shared" si="6"/>
        <v>59037.594249195259</v>
      </c>
      <c r="F23" s="17">
        <f t="shared" si="7"/>
        <v>332.16641221374056</v>
      </c>
      <c r="G23" s="12">
        <f>Tabelle3[[#This Row],[Werkzeuge (€)]]/$Q$24*$G$24</f>
        <v>47642.79428407245</v>
      </c>
      <c r="H23" s="12">
        <f>Tabelle3[[#This Row],[Werkzeuge (Backer)]]/$R$24*$H$24</f>
        <v>264.38095238095235</v>
      </c>
      <c r="I23" s="17">
        <f>Tabelle3[[#This Row],[Mythos (€)]]/$S$24*$I$24</f>
        <v>60216.069063056697</v>
      </c>
      <c r="J23" s="17">
        <f>Tabelle3[[#This Row],[Mythos (Backer)]]/$T$24*$J$24</f>
        <v>335.85630567276144</v>
      </c>
      <c r="K23" s="4">
        <f>Tabelle3[[#This Row],[DSK (€)]]/$U$24*$I$24</f>
        <v>54792.209368036936</v>
      </c>
      <c r="L23" s="4">
        <f>Tabelle3[[#This Row],[DSK (Backer)]]/$V$24*$L$24</f>
        <v>308.91463414634148</v>
      </c>
      <c r="M23" s="4">
        <f>Tabelle3[[#This Row],[Mythen (€)]]/$W$24*$M$24</f>
        <v>54719.598504461064</v>
      </c>
      <c r="N23" s="4">
        <f>Tabelle3[[#This Row],[Mythen (Backer)]]/$X$24*$N$24</f>
        <v>307.82258064516128</v>
      </c>
      <c r="O23" s="18">
        <f t="shared" si="8"/>
        <v>252116.90000000005</v>
      </c>
      <c r="P23" s="18">
        <f t="shared" si="9"/>
        <v>1504.8000000000004</v>
      </c>
      <c r="Q23" s="13">
        <v>130324</v>
      </c>
      <c r="R23" s="13">
        <v>576</v>
      </c>
      <c r="S23" s="18">
        <f t="shared" si="4"/>
        <v>115297.66666666661</v>
      </c>
      <c r="T23" s="18">
        <f t="shared" si="5"/>
        <v>688.16666666666674</v>
      </c>
      <c r="U23" s="51">
        <v>108862</v>
      </c>
      <c r="V23" s="51">
        <v>584</v>
      </c>
      <c r="W23" s="50">
        <v>78993</v>
      </c>
      <c r="X23" s="50">
        <v>440</v>
      </c>
      <c r="Y23" s="50">
        <f>Sonnenküste!Y189</f>
        <v>220897</v>
      </c>
      <c r="Z23" s="50">
        <f>Sonnenküste!Z189</f>
        <v>1545</v>
      </c>
      <c r="AA23" s="14">
        <f>Tabelle3[[#This Row],[Nedime (€)]]/C$24</f>
        <v>0.87596439169139462</v>
      </c>
      <c r="AB23" s="14">
        <f>Tabelle3[[#This Row],[Nedime (Backer)]]/D$24</f>
        <v>0.86455331412103742</v>
      </c>
      <c r="AC23" s="14"/>
      <c r="AD23" s="14"/>
      <c r="AE23" s="14">
        <f>Tabelle3[[#This Row],[Werkzeuge (€)]]/Q$24</f>
        <v>0.76417987463425219</v>
      </c>
      <c r="AF23" s="14">
        <f>Tabelle3[[#This Row],[Werkzeuge (Backer)]]/R$24</f>
        <v>0.76190476190476186</v>
      </c>
      <c r="AG23" s="14"/>
      <c r="AH23" s="14"/>
      <c r="AJ23" s="27" t="s">
        <v>86</v>
      </c>
      <c r="AK23" s="33" t="s">
        <v>87</v>
      </c>
      <c r="AL23" s="52"/>
      <c r="AM23" s="62"/>
      <c r="AN23" s="34" t="s">
        <v>131</v>
      </c>
      <c r="AO23" s="33" t="s">
        <v>132</v>
      </c>
      <c r="AP23" s="34" t="s">
        <v>92</v>
      </c>
      <c r="AQ23" s="28" t="s">
        <v>93</v>
      </c>
      <c r="AR23" s="34" t="s">
        <v>161</v>
      </c>
      <c r="AS23" s="28" t="s">
        <v>162</v>
      </c>
      <c r="AT23" s="16" t="s">
        <v>95</v>
      </c>
      <c r="AU23" s="23">
        <f>MIN(AJ24,AL24,AN24,AP24,AR24)</f>
        <v>2.5828971787226056</v>
      </c>
      <c r="AV23" s="23">
        <f>MIN(AK24,AM24,AO24,AQ24,AS24)</f>
        <v>2.4848484848484849</v>
      </c>
      <c r="AW23"/>
    </row>
    <row r="24" spans="2:49" x14ac:dyDescent="0.25">
      <c r="B24">
        <v>21</v>
      </c>
      <c r="C24" s="3">
        <v>62345</v>
      </c>
      <c r="D24" s="3">
        <v>347</v>
      </c>
      <c r="E24" s="4">
        <f>Tabelle3[[#This Row],[Nedime (€)]]</f>
        <v>62345</v>
      </c>
      <c r="F24" s="4">
        <f>Tabelle3[[#This Row],[Nedime (Backer)]]</f>
        <v>347</v>
      </c>
      <c r="G24" s="12">
        <f>Tabelle3[[#This Row],[Nedime (€)]]</f>
        <v>62345</v>
      </c>
      <c r="H24" s="12">
        <f>Tabelle3[[#This Row],[Nedime (Backer)]]</f>
        <v>347</v>
      </c>
      <c r="I24" s="12">
        <f>Tabelle3[[#This Row],[Nedime (€)]]</f>
        <v>62345</v>
      </c>
      <c r="J24" s="12">
        <f>Tabelle3[[#This Row],[Nedime (Backer)]]</f>
        <v>347</v>
      </c>
      <c r="K24" s="12">
        <f>Tabelle3[[#This Row],[Nedime (€)]]</f>
        <v>62345</v>
      </c>
      <c r="L24" s="12">
        <f>Tabelle3[[#This Row],[Nedime (Backer)]]</f>
        <v>347</v>
      </c>
      <c r="M24" s="12">
        <f>Tabelle3[[#This Row],[Nedime (€)]]</f>
        <v>62345</v>
      </c>
      <c r="N24" s="12">
        <f>Tabelle3[[#This Row],[Nedime (Backer)]]</f>
        <v>347</v>
      </c>
      <c r="O24" s="3">
        <v>266241</v>
      </c>
      <c r="P24" s="3">
        <v>1572</v>
      </c>
      <c r="Q24" s="13">
        <v>170541</v>
      </c>
      <c r="R24" s="13">
        <v>756</v>
      </c>
      <c r="S24" s="13">
        <v>119374</v>
      </c>
      <c r="T24" s="13">
        <v>711</v>
      </c>
      <c r="U24" s="51">
        <v>123868</v>
      </c>
      <c r="V24" s="51">
        <v>656</v>
      </c>
      <c r="W24" s="50">
        <v>90001</v>
      </c>
      <c r="X24" s="50">
        <v>496</v>
      </c>
      <c r="Y24" s="50">
        <f>Sonnenküste!Y190</f>
        <v>274051.62068965519</v>
      </c>
      <c r="Z24" s="50">
        <f>Sonnenküste!Z190</f>
        <v>1923</v>
      </c>
      <c r="AA24" s="14">
        <f>Tabelle3[[#This Row],[Nedime (€)]]/C$24</f>
        <v>1</v>
      </c>
      <c r="AB24" s="14">
        <f>Tabelle3[[#This Row],[Nedime (Backer)]]/D$24</f>
        <v>1</v>
      </c>
      <c r="AC24" s="9">
        <f>Tabelle3[[#This Row],[Thorwal (€)]]/O$24</f>
        <v>1</v>
      </c>
      <c r="AD24" s="9">
        <f>Tabelle3[[#This Row],[Thorwal (Backer)]]/P$24</f>
        <v>1</v>
      </c>
      <c r="AE24" s="14">
        <f>Tabelle3[[#This Row],[Werkzeuge (€)]]/Q$24</f>
        <v>1</v>
      </c>
      <c r="AF24" s="14">
        <f>Tabelle3[[#This Row],[Werkzeuge (Backer)]]/R$24</f>
        <v>1</v>
      </c>
      <c r="AG24" s="14">
        <f>Tabelle3[[#This Row],[Mythos (€)]]/S$24</f>
        <v>1</v>
      </c>
      <c r="AH24" s="14">
        <f>Tabelle3[[#This Row],[Mythos (Backer)]]/T$24</f>
        <v>1</v>
      </c>
      <c r="AJ24" s="27">
        <f>C24/C7</f>
        <v>3.301996716275621</v>
      </c>
      <c r="AK24" s="33">
        <f>D24/D7</f>
        <v>3.6526315789473682</v>
      </c>
      <c r="AL24" s="52"/>
      <c r="AM24" s="62"/>
      <c r="AN24" s="53">
        <f>Q24/Q7</f>
        <v>2.8441038640494973</v>
      </c>
      <c r="AO24" s="57">
        <f>R24/R7</f>
        <v>3.0607287449392713</v>
      </c>
      <c r="AP24" s="53">
        <f>U24/U7</f>
        <v>2.5828971787226056</v>
      </c>
      <c r="AQ24" s="54">
        <f>V24/V7</f>
        <v>2.4848484848484849</v>
      </c>
      <c r="AR24" s="53">
        <f>W24/W7</f>
        <v>2.9679791584223718</v>
      </c>
      <c r="AS24" s="54">
        <f>X24/X7</f>
        <v>2.7865168539325844</v>
      </c>
      <c r="AT24" t="s">
        <v>96</v>
      </c>
      <c r="AU24" s="24">
        <f>MAX(AJ24,AL24,AN24,AP24,AR24)</f>
        <v>3.301996716275621</v>
      </c>
      <c r="AV24" s="24">
        <f>MAX(,AK24,AM24,AO24,AQ24,AS24)</f>
        <v>3.6526315789473682</v>
      </c>
    </row>
    <row r="25" spans="2:49" ht="15.75" thickBot="1" x14ac:dyDescent="0.3">
      <c r="G25" s="12"/>
      <c r="H25" s="12"/>
      <c r="I25" s="12"/>
      <c r="J25" s="12"/>
      <c r="K25" s="12"/>
      <c r="L25" s="12"/>
      <c r="M25" s="12"/>
      <c r="N25" s="12"/>
      <c r="AJ25" s="29"/>
      <c r="AK25" s="35">
        <f>AJ24-AK24</f>
        <v>-0.35063486267174726</v>
      </c>
      <c r="AL25" s="63"/>
      <c r="AM25" s="64"/>
      <c r="AN25" s="58"/>
      <c r="AO25" s="59">
        <f>AN24-AO24</f>
        <v>-0.21662488088977394</v>
      </c>
      <c r="AP25" s="36"/>
      <c r="AQ25" s="30">
        <f>AP24-AQ24</f>
        <v>9.804869387412074E-2</v>
      </c>
      <c r="AR25" s="36"/>
      <c r="AS25" s="30">
        <f>AR24-AS24</f>
        <v>0.1814623044897874</v>
      </c>
    </row>
    <row r="26" spans="2:49" ht="15.75" thickBot="1" x14ac:dyDescent="0.3">
      <c r="T26" s="38"/>
      <c r="U26" s="38"/>
      <c r="V26" s="38"/>
      <c r="W26" s="37" t="s">
        <v>133</v>
      </c>
      <c r="X26" s="40" t="s">
        <v>135</v>
      </c>
      <c r="Y26" s="68">
        <f>$Y$4*AU8</f>
        <v>306304.65051370807</v>
      </c>
      <c r="Z26" s="68">
        <f>$Z$4*AV8</f>
        <v>1971.288</v>
      </c>
      <c r="AC26" s="69">
        <f>Y26/Z26</f>
        <v>155.38300365735907</v>
      </c>
      <c r="AD26" s="69"/>
    </row>
    <row r="27" spans="2:49" x14ac:dyDescent="0.25">
      <c r="T27" s="38"/>
      <c r="U27" s="38"/>
      <c r="V27" s="38"/>
      <c r="W27" s="37"/>
      <c r="X27" s="37" t="s">
        <v>136</v>
      </c>
      <c r="Y27" s="68">
        <f>$Y$4*AU9</f>
        <v>413090.45563940448</v>
      </c>
      <c r="Z27" s="68">
        <f>$Z$4*AV9</f>
        <v>2980.3972602739727</v>
      </c>
      <c r="AA27" s="39"/>
      <c r="AB27" s="39"/>
      <c r="AC27" s="69">
        <f>Y27/Z27</f>
        <v>138.60248133546841</v>
      </c>
      <c r="AD27" s="69"/>
      <c r="AJ27" s="25" t="s">
        <v>175</v>
      </c>
      <c r="AK27" s="31" t="s">
        <v>175</v>
      </c>
      <c r="AL27" s="60"/>
      <c r="AM27" s="61"/>
      <c r="AN27" s="55" t="s">
        <v>175</v>
      </c>
      <c r="AO27" s="56" t="s">
        <v>175</v>
      </c>
      <c r="AP27" s="32" t="s">
        <v>175</v>
      </c>
      <c r="AQ27" s="26" t="s">
        <v>175</v>
      </c>
      <c r="AR27" s="32" t="s">
        <v>175</v>
      </c>
      <c r="AS27" s="26" t="s">
        <v>175</v>
      </c>
    </row>
    <row r="28" spans="2:49" x14ac:dyDescent="0.25">
      <c r="W28" s="37"/>
      <c r="X28" s="37"/>
      <c r="AA28" s="50">
        <f>AVERAGE(Y26:Y27)</f>
        <v>359697.5530765563</v>
      </c>
      <c r="AB28" s="50">
        <f>AVERAGE(Z26:Z27)</f>
        <v>2475.8426301369864</v>
      </c>
      <c r="AC28" s="69"/>
      <c r="AD28" s="69">
        <f>AA28/AB28</f>
        <v>145.28288215824708</v>
      </c>
      <c r="AJ28" s="27" t="s">
        <v>86</v>
      </c>
      <c r="AK28" s="33" t="s">
        <v>87</v>
      </c>
      <c r="AL28" s="52"/>
      <c r="AM28" s="62"/>
      <c r="AN28" s="34" t="s">
        <v>131</v>
      </c>
      <c r="AO28" s="33" t="s">
        <v>132</v>
      </c>
      <c r="AP28" s="34" t="s">
        <v>92</v>
      </c>
      <c r="AQ28" s="28" t="s">
        <v>93</v>
      </c>
      <c r="AR28" s="34" t="s">
        <v>161</v>
      </c>
      <c r="AS28" s="28" t="s">
        <v>162</v>
      </c>
      <c r="AT28" s="16" t="s">
        <v>95</v>
      </c>
      <c r="AU28" s="23">
        <f>MIN(AJ29,AL29,AN29,AP29,AR29)</f>
        <v>2.4401237121525519</v>
      </c>
      <c r="AV28" s="23">
        <f>MIN(AK29,AM29,AO29,AQ29,AS29)</f>
        <v>2.342857142857143</v>
      </c>
    </row>
    <row r="29" spans="2:49" x14ac:dyDescent="0.25">
      <c r="W29" s="37" t="s">
        <v>134</v>
      </c>
      <c r="X29" s="37" t="s">
        <v>135</v>
      </c>
      <c r="Y29" s="68">
        <f>$Y$5*AU13</f>
        <v>331028.00356314023</v>
      </c>
      <c r="Z29" s="68">
        <f>$Z$5*AV13</f>
        <v>2221.3905579399143</v>
      </c>
      <c r="AA29" s="37"/>
      <c r="AB29" s="37"/>
      <c r="AC29" s="69">
        <f t="shared" ref="AC29:AC30" si="10">Y29/Z29</f>
        <v>149.01837156908186</v>
      </c>
      <c r="AD29" s="69"/>
      <c r="AJ29" s="27">
        <f>C24/C8</f>
        <v>2.8486246915836606</v>
      </c>
      <c r="AK29" s="33">
        <f>D24/D8</f>
        <v>3.1261261261261262</v>
      </c>
      <c r="AL29" s="52"/>
      <c r="AM29" s="62"/>
      <c r="AN29" s="53">
        <f>Q24/Q8</f>
        <v>2.7020676542818665</v>
      </c>
      <c r="AO29" s="57">
        <f>R24/R8</f>
        <v>2.8636363636363638</v>
      </c>
      <c r="AP29" s="53">
        <f>U24/U8</f>
        <v>2.4401237121525519</v>
      </c>
      <c r="AQ29" s="54">
        <f>V24/V8</f>
        <v>2.342857142857143</v>
      </c>
      <c r="AR29" s="53">
        <f>W24/W8</f>
        <v>2.7589896079212779</v>
      </c>
      <c r="AS29" s="54">
        <f>X24/X8</f>
        <v>2.5968586387434556</v>
      </c>
      <c r="AT29" t="s">
        <v>96</v>
      </c>
      <c r="AU29" s="24">
        <f>MAX(AJ29,AL29,AN29,AP29,AR29)</f>
        <v>2.8486246915836606</v>
      </c>
      <c r="AV29" s="24">
        <f>MAX(,AK29,AM29,AO29,AQ29,AS29)</f>
        <v>3.1261261261261262</v>
      </c>
    </row>
    <row r="30" spans="2:49" ht="15.75" thickBot="1" x14ac:dyDescent="0.3">
      <c r="T30" s="38"/>
      <c r="U30" s="38"/>
      <c r="V30" s="38"/>
      <c r="W30" s="37"/>
      <c r="X30" s="37" t="s">
        <v>136</v>
      </c>
      <c r="Y30" s="68">
        <f>$Y$5*AU14</f>
        <v>423975.00805297063</v>
      </c>
      <c r="Z30" s="68">
        <f>$Z$5*AV14</f>
        <v>3338.8170731707314</v>
      </c>
      <c r="AA30" s="39"/>
      <c r="AB30" s="39"/>
      <c r="AC30" s="69">
        <f t="shared" si="10"/>
        <v>126.9835989098797</v>
      </c>
      <c r="AD30" s="69"/>
      <c r="AJ30" s="29"/>
      <c r="AK30" s="35">
        <f>AJ29-AK29</f>
        <v>-0.27750143454246556</v>
      </c>
      <c r="AL30" s="63"/>
      <c r="AM30" s="64"/>
      <c r="AN30" s="58"/>
      <c r="AO30" s="59">
        <f>AN29-AO29</f>
        <v>-0.1615687093544973</v>
      </c>
      <c r="AP30" s="36"/>
      <c r="AQ30" s="30">
        <f>AP29-AQ29</f>
        <v>9.7266569295408889E-2</v>
      </c>
      <c r="AR30" s="36"/>
      <c r="AS30" s="30">
        <f>AR29-AS29</f>
        <v>0.16213096917782233</v>
      </c>
    </row>
    <row r="31" spans="2:49" ht="15.75" thickBot="1" x14ac:dyDescent="0.3">
      <c r="T31" s="38"/>
      <c r="U31" s="38"/>
      <c r="V31" s="38"/>
      <c r="W31" s="37"/>
      <c r="X31" s="37"/>
      <c r="AA31" s="50">
        <f>AVERAGE(Y29:Y30)</f>
        <v>377501.5058080554</v>
      </c>
      <c r="AB31" s="50">
        <f>AVERAGE(Z29:Z30)</f>
        <v>2780.1038155553229</v>
      </c>
      <c r="AC31" s="69"/>
      <c r="AD31" s="69">
        <f t="shared" ref="AD31" si="11">AA31/AB31</f>
        <v>135.78683777772878</v>
      </c>
    </row>
    <row r="32" spans="2:49" x14ac:dyDescent="0.25">
      <c r="W32" s="37" t="s">
        <v>156</v>
      </c>
      <c r="X32" s="37" t="s">
        <v>135</v>
      </c>
      <c r="Y32" s="68">
        <f>$Y$6*AU18</f>
        <v>335214.88507498952</v>
      </c>
      <c r="Z32" s="68">
        <f>$Z$6*AV18</f>
        <v>2253.6774193548385</v>
      </c>
      <c r="AA32" s="37"/>
      <c r="AB32" s="37"/>
      <c r="AC32" s="69">
        <f t="shared" ref="AC32:AC33" si="12">Y32/Z32</f>
        <v>148.74128932389607</v>
      </c>
      <c r="AD32" s="69"/>
      <c r="AJ32" s="25" t="s">
        <v>178</v>
      </c>
      <c r="AK32" s="31" t="s">
        <v>178</v>
      </c>
      <c r="AL32" s="60"/>
      <c r="AM32" s="61"/>
      <c r="AN32" s="55" t="s">
        <v>178</v>
      </c>
      <c r="AO32" s="56" t="s">
        <v>178</v>
      </c>
      <c r="AP32" s="32" t="s">
        <v>178</v>
      </c>
      <c r="AQ32" s="26" t="s">
        <v>178</v>
      </c>
      <c r="AR32" s="32" t="s">
        <v>178</v>
      </c>
      <c r="AS32" s="26" t="s">
        <v>178</v>
      </c>
    </row>
    <row r="33" spans="23:48" x14ac:dyDescent="0.25">
      <c r="W33" s="37"/>
      <c r="X33" s="37" t="s">
        <v>136</v>
      </c>
      <c r="Y33" s="68">
        <f>$Y$6*AU19</f>
        <v>432185.52987439174</v>
      </c>
      <c r="Z33" s="68">
        <f>$Z$6*AV19</f>
        <v>3284.9333333333334</v>
      </c>
      <c r="AC33" s="69">
        <f t="shared" si="12"/>
        <v>131.56599724227536</v>
      </c>
      <c r="AD33" s="69"/>
      <c r="AJ33" s="27" t="s">
        <v>86</v>
      </c>
      <c r="AK33" s="33" t="s">
        <v>87</v>
      </c>
      <c r="AL33" s="52"/>
      <c r="AM33" s="62"/>
      <c r="AN33" s="34" t="s">
        <v>131</v>
      </c>
      <c r="AO33" s="33" t="s">
        <v>132</v>
      </c>
      <c r="AP33" s="34" t="s">
        <v>92</v>
      </c>
      <c r="AQ33" s="28" t="s">
        <v>93</v>
      </c>
      <c r="AR33" s="34" t="s">
        <v>161</v>
      </c>
      <c r="AS33" s="28" t="s">
        <v>162</v>
      </c>
      <c r="AT33" s="16" t="s">
        <v>95</v>
      </c>
      <c r="AU33" s="23">
        <f>MIN(AJ34,AL34,AN34,AP34,AR34)</f>
        <v>2.3011387913578183</v>
      </c>
      <c r="AV33" s="23">
        <f>MIN(AK34,AM34,AO34,AQ34,AS34)</f>
        <v>2.2312925170068025</v>
      </c>
    </row>
    <row r="34" spans="23:48" x14ac:dyDescent="0.25">
      <c r="W34" s="37"/>
      <c r="X34" s="37"/>
      <c r="AA34" s="50">
        <f>AVERAGE(Y32:Y33)</f>
        <v>383700.20747469063</v>
      </c>
      <c r="AB34" s="50">
        <f>AVERAGE(Z32:Z33)</f>
        <v>2769.3053763440857</v>
      </c>
      <c r="AC34" s="69"/>
      <c r="AD34" s="69">
        <f t="shared" ref="AD34" si="13">AA34/AB34</f>
        <v>138.55467538983896</v>
      </c>
      <c r="AJ34" s="27">
        <f>C24/C9</f>
        <v>2.7621726994816358</v>
      </c>
      <c r="AK34" s="33">
        <f>D24/D9</f>
        <v>3.0173913043478264</v>
      </c>
      <c r="AL34" s="52"/>
      <c r="AM34" s="62"/>
      <c r="AN34" s="53">
        <f>Q24/Q9</f>
        <v>2.6177472831092281</v>
      </c>
      <c r="AO34" s="57">
        <f>R24/R9</f>
        <v>2.7591240875912408</v>
      </c>
      <c r="AP34" s="53">
        <f>U24/U9</f>
        <v>2.3011387913578183</v>
      </c>
      <c r="AQ34" s="54">
        <f>V24/V9</f>
        <v>2.2312925170068025</v>
      </c>
      <c r="AR34" s="53">
        <f>W24/W9</f>
        <v>2.4012432966036124</v>
      </c>
      <c r="AS34" s="54">
        <f>X24/X9</f>
        <v>2.2545454545454544</v>
      </c>
      <c r="AT34" t="s">
        <v>96</v>
      </c>
      <c r="AU34" s="24">
        <f>MAX(AJ34,AL34,AN34,AP34,AR34)</f>
        <v>2.7621726994816358</v>
      </c>
      <c r="AV34" s="24">
        <f>MAX(,AK34,AM34,AO34,AQ34,AS34)</f>
        <v>3.0173913043478264</v>
      </c>
    </row>
    <row r="35" spans="23:48" ht="15.75" thickBot="1" x14ac:dyDescent="0.3">
      <c r="W35" s="37" t="s">
        <v>176</v>
      </c>
      <c r="X35" s="37" t="s">
        <v>135</v>
      </c>
      <c r="Y35" s="68">
        <f>$Y$7*AU23</f>
        <v>329588.01159371936</v>
      </c>
      <c r="Z35" s="68">
        <f>$Z$7*AV23</f>
        <v>2214</v>
      </c>
      <c r="AC35" s="69">
        <f t="shared" ref="AC35:AC36" si="14">Y35/Z35</f>
        <v>148.86540722390214</v>
      </c>
      <c r="AD35" s="69"/>
      <c r="AJ35" s="29"/>
      <c r="AK35" s="35">
        <f>AJ34-AK34</f>
        <v>-0.25521860486619063</v>
      </c>
      <c r="AL35" s="63"/>
      <c r="AM35" s="64"/>
      <c r="AN35" s="58"/>
      <c r="AO35" s="59">
        <f>AN34-AO34</f>
        <v>-0.14137680448201273</v>
      </c>
      <c r="AP35" s="36"/>
      <c r="AQ35" s="30">
        <f>AP34-AQ34</f>
        <v>6.9846274351015758E-2</v>
      </c>
      <c r="AR35" s="36"/>
      <c r="AS35" s="30">
        <f>AR34-AS34</f>
        <v>0.14669784205815795</v>
      </c>
    </row>
    <row r="36" spans="23:48" ht="15.75" thickBot="1" x14ac:dyDescent="0.3">
      <c r="W36" s="37"/>
      <c r="X36" s="37" t="s">
        <v>136</v>
      </c>
      <c r="Y36" s="68">
        <f>$Y$7*AU24</f>
        <v>421347.98898363434</v>
      </c>
      <c r="Z36" s="68">
        <f>$Z$7*AV24</f>
        <v>3254.4947368421049</v>
      </c>
      <c r="AC36" s="69">
        <f t="shared" si="14"/>
        <v>129.46648344943273</v>
      </c>
      <c r="AD36" s="69"/>
    </row>
    <row r="37" spans="23:48" x14ac:dyDescent="0.25">
      <c r="W37" s="37"/>
      <c r="X37" s="37"/>
      <c r="AA37" s="50">
        <f>AVERAGE(Y35:Y36)</f>
        <v>375468.00028867682</v>
      </c>
      <c r="AB37" s="50">
        <f>AVERAGE(Z35:Z36)</f>
        <v>2734.2473684210527</v>
      </c>
      <c r="AC37" s="69"/>
      <c r="AD37" s="69">
        <f t="shared" ref="AD37" si="15">AA37/AB37</f>
        <v>137.32042119711303</v>
      </c>
      <c r="AJ37" s="25" t="s">
        <v>183</v>
      </c>
      <c r="AK37" s="31" t="s">
        <v>183</v>
      </c>
      <c r="AL37" s="60"/>
      <c r="AM37" s="61"/>
      <c r="AN37" s="55" t="s">
        <v>183</v>
      </c>
      <c r="AO37" s="56" t="s">
        <v>183</v>
      </c>
      <c r="AP37" s="32" t="s">
        <v>183</v>
      </c>
      <c r="AQ37" s="26" t="s">
        <v>183</v>
      </c>
      <c r="AR37" s="32" t="s">
        <v>183</v>
      </c>
      <c r="AS37" s="26" t="s">
        <v>183</v>
      </c>
    </row>
    <row r="38" spans="23:48" x14ac:dyDescent="0.25">
      <c r="W38" s="37" t="s">
        <v>177</v>
      </c>
      <c r="X38" s="37" t="s">
        <v>135</v>
      </c>
      <c r="Y38" s="68">
        <f>$Y$8*AU28</f>
        <v>320324.80018911412</v>
      </c>
      <c r="Z38" s="68">
        <f>$Z$8*AV28</f>
        <v>2150.7428571428572</v>
      </c>
      <c r="AC38" s="69">
        <f t="shared" ref="AC38:AC39" si="16">Y38/Z38</f>
        <v>148.93681926004297</v>
      </c>
      <c r="AD38" s="69"/>
      <c r="AJ38" s="27" t="s">
        <v>86</v>
      </c>
      <c r="AK38" s="33" t="s">
        <v>87</v>
      </c>
      <c r="AL38" s="52"/>
      <c r="AM38" s="62"/>
      <c r="AN38" s="34" t="s">
        <v>131</v>
      </c>
      <c r="AO38" s="33" t="s">
        <v>132</v>
      </c>
      <c r="AP38" s="34" t="s">
        <v>92</v>
      </c>
      <c r="AQ38" s="28" t="s">
        <v>93</v>
      </c>
      <c r="AR38" s="34" t="s">
        <v>161</v>
      </c>
      <c r="AS38" s="28" t="s">
        <v>162</v>
      </c>
      <c r="AT38" s="16" t="s">
        <v>95</v>
      </c>
      <c r="AU38" s="23">
        <f>MIN(AJ39,AL39,AN39,AP39,AR39)</f>
        <v>2.2126793019060038</v>
      </c>
      <c r="AV38" s="23">
        <f>MIN(AK39,AM39,AO39,AQ39,AS39)</f>
        <v>2.1016949152542375</v>
      </c>
    </row>
    <row r="39" spans="23:48" x14ac:dyDescent="0.25">
      <c r="W39" s="37"/>
      <c r="X39" s="37" t="s">
        <v>136</v>
      </c>
      <c r="Y39" s="68">
        <f>$Y$8*AU29</f>
        <v>373950.35776295344</v>
      </c>
      <c r="Z39" s="68">
        <f>$Z$8*AV29</f>
        <v>2869.7837837837837</v>
      </c>
      <c r="AC39" s="69">
        <f t="shared" si="16"/>
        <v>130.30610873056901</v>
      </c>
      <c r="AD39" s="69"/>
      <c r="AJ39" s="27">
        <f>C24/C10</f>
        <v>2.5783705541770057</v>
      </c>
      <c r="AK39" s="33">
        <f>D24/D10</f>
        <v>2.7983870967741935</v>
      </c>
      <c r="AL39" s="52"/>
      <c r="AM39" s="62"/>
      <c r="AN39" s="53">
        <f>Q24/Q10</f>
        <v>2.4494922654869797</v>
      </c>
      <c r="AO39" s="57">
        <f>R24/R10</f>
        <v>2.5627118644067797</v>
      </c>
      <c r="AP39" s="53">
        <f>U24/U10</f>
        <v>2.2126793019060038</v>
      </c>
      <c r="AQ39" s="54">
        <f>V24/V10</f>
        <v>2.1298701298701297</v>
      </c>
      <c r="AR39" s="53">
        <f>W24/W10</f>
        <v>2.2375506550978295</v>
      </c>
      <c r="AS39" s="54">
        <f>X24/X10</f>
        <v>2.1016949152542375</v>
      </c>
      <c r="AT39" t="s">
        <v>96</v>
      </c>
      <c r="AU39" s="24">
        <f>MAX(AJ39,AL39,AN39,AP39,AR39)</f>
        <v>2.5783705541770057</v>
      </c>
      <c r="AV39" s="24">
        <f>MAX(,AK39,AM39,AO39,AQ39,AS39)</f>
        <v>2.7983870967741935</v>
      </c>
    </row>
    <row r="40" spans="23:48" ht="15.75" thickBot="1" x14ac:dyDescent="0.3">
      <c r="W40" s="37"/>
      <c r="X40" s="37"/>
      <c r="AA40" s="50">
        <f>AVERAGE(Y38:Y39)</f>
        <v>347137.57897603378</v>
      </c>
      <c r="AB40" s="50">
        <f>AVERAGE(Z38:Z39)</f>
        <v>2510.2633204633203</v>
      </c>
      <c r="AC40" s="69"/>
      <c r="AD40" s="69">
        <f t="shared" ref="AD40" si="17">AA40/AB40</f>
        <v>138.2873167711993</v>
      </c>
      <c r="AJ40" s="29"/>
      <c r="AK40" s="35">
        <f>AJ39-AK39</f>
        <v>-0.22001654259718784</v>
      </c>
      <c r="AL40" s="63"/>
      <c r="AM40" s="64"/>
      <c r="AN40" s="58"/>
      <c r="AO40" s="59">
        <f>AN39-AO39</f>
        <v>-0.11321959891979994</v>
      </c>
      <c r="AP40" s="36"/>
      <c r="AQ40" s="30">
        <f>AP39-AQ39</f>
        <v>8.2809172035874123E-2</v>
      </c>
      <c r="AR40" s="36"/>
      <c r="AS40" s="30">
        <f>AR39-AS39</f>
        <v>0.135855739843592</v>
      </c>
    </row>
    <row r="41" spans="23:48" x14ac:dyDescent="0.25">
      <c r="W41" s="37" t="s">
        <v>181</v>
      </c>
      <c r="X41" s="37" t="s">
        <v>135</v>
      </c>
      <c r="Y41" s="68">
        <f>$Y$9*AU33</f>
        <v>312018.31213658064</v>
      </c>
      <c r="Z41" s="68">
        <f>$Z$9*AV33</f>
        <v>2126.4217687074829</v>
      </c>
      <c r="AC41" s="69">
        <f t="shared" ref="AC41:AC42" si="18">Y41/Z41</f>
        <v>146.73397193739078</v>
      </c>
      <c r="AD41" s="69"/>
    </row>
    <row r="42" spans="23:48" x14ac:dyDescent="0.25">
      <c r="W42" s="37"/>
      <c r="X42" s="37" t="s">
        <v>136</v>
      </c>
      <c r="Y42" s="68">
        <f>$Y$9*AU34</f>
        <v>374531.28284081345</v>
      </c>
      <c r="Z42" s="68">
        <f>$Z$9*AV34</f>
        <v>2875.5739130434786</v>
      </c>
      <c r="AC42" s="69">
        <f t="shared" si="18"/>
        <v>130.24575064544709</v>
      </c>
      <c r="AD42" s="69"/>
    </row>
    <row r="43" spans="23:48" x14ac:dyDescent="0.25">
      <c r="W43" s="37"/>
      <c r="X43" s="37"/>
      <c r="AA43" s="50">
        <f>AVERAGE(Y41:Y42)</f>
        <v>343274.79748869705</v>
      </c>
      <c r="AB43" s="50">
        <f>AVERAGE(Z41:Z42)</f>
        <v>2500.9978408754805</v>
      </c>
      <c r="AC43" s="69"/>
      <c r="AD43" s="69">
        <f t="shared" ref="AD43" si="19">AA43/AB43</f>
        <v>137.25513548165753</v>
      </c>
    </row>
    <row r="44" spans="23:48" x14ac:dyDescent="0.25">
      <c r="W44" s="37" t="s">
        <v>182</v>
      </c>
      <c r="X44" s="37" t="s">
        <v>135</v>
      </c>
      <c r="Y44" s="68">
        <f>$Y$10*AU38</f>
        <v>325921.02313284867</v>
      </c>
      <c r="Z44" s="68">
        <f>$Z$10*AV38</f>
        <v>2194.1694915254238</v>
      </c>
      <c r="AC44" s="69">
        <f t="shared" ref="AC44:AC45" si="20">Y44/Z44</f>
        <v>148.53958383418359</v>
      </c>
      <c r="AD44" s="69"/>
    </row>
    <row r="45" spans="23:48" x14ac:dyDescent="0.25">
      <c r="W45" s="37"/>
      <c r="X45" s="37" t="s">
        <v>136</v>
      </c>
      <c r="Y45" s="68">
        <f>$Y$10*AU39</f>
        <v>379786.24751861038</v>
      </c>
      <c r="Z45" s="68">
        <f>$Z$10*AV39</f>
        <v>2921.516129032258</v>
      </c>
      <c r="AC45" s="69">
        <f t="shared" si="20"/>
        <v>129.99628642968102</v>
      </c>
      <c r="AD45" s="69"/>
    </row>
    <row r="46" spans="23:48" x14ac:dyDescent="0.25">
      <c r="W46" s="37"/>
      <c r="X46" s="37"/>
      <c r="AA46" s="50">
        <f>AVERAGE(Y44:Y45)</f>
        <v>352853.6353257295</v>
      </c>
      <c r="AB46" s="50">
        <f>AVERAGE(Z44:Z45)</f>
        <v>2557.8428102788412</v>
      </c>
      <c r="AC46" s="69"/>
      <c r="AD46" s="69">
        <f t="shared" ref="AD46" si="21">AA46/AB46</f>
        <v>137.94969491782939</v>
      </c>
    </row>
    <row r="47" spans="23:48" x14ac:dyDescent="0.25">
      <c r="W47" s="37"/>
      <c r="X47" s="37"/>
      <c r="Y47" s="37"/>
      <c r="Z47" s="37"/>
      <c r="AC47" s="69"/>
      <c r="AD47" s="69"/>
    </row>
    <row r="48" spans="23:48" x14ac:dyDescent="0.25">
      <c r="AC48" s="69"/>
      <c r="AD48" s="69"/>
    </row>
    <row r="49" spans="29:30" x14ac:dyDescent="0.25">
      <c r="AC49" s="69"/>
      <c r="AD49" s="69"/>
    </row>
  </sheetData>
  <phoneticPr fontId="5" type="noConversion"/>
  <conditionalFormatting sqref="AA3:AH24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4:AS1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9:AS9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9:AS19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24:AS2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29:AS2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6:Y4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6:Z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4:AS3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9:AS3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28:AA4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8:AB4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6:AC4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8:AD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Sonnenküste</vt:lpstr>
      <vt:lpstr>Vergleich</vt:lpstr>
      <vt:lpstr>Sonnenküste!Druckbereich</vt:lpstr>
      <vt:lpstr>Sonnenküste!Drucktitel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Gernot</dc:creator>
  <cp:lastModifiedBy>Gernot</cp:lastModifiedBy>
  <cp:lastPrinted>2021-05-18T17:08:55Z</cp:lastPrinted>
  <dcterms:created xsi:type="dcterms:W3CDTF">2021-01-19T21:15:58Z</dcterms:created>
  <dcterms:modified xsi:type="dcterms:W3CDTF">2021-05-18T17:09:17Z</dcterms:modified>
</cp:coreProperties>
</file>