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c\DSA\CFs\AVENTURIA\Mythen &amp; Legenden\"/>
    </mc:Choice>
  </mc:AlternateContent>
  <xr:revisionPtr revIDLastSave="0" documentId="13_ncr:1_{B699B932-2DF9-4140-8B34-883CBE18C0F8}" xr6:coauthVersionLast="46" xr6:coauthVersionMax="46" xr10:uidLastSave="{00000000-0000-0000-0000-000000000000}"/>
  <bookViews>
    <workbookView xWindow="-28920" yWindow="-120" windowWidth="29040" windowHeight="17790" xr2:uid="{3C0DC3EB-12BA-4DE2-BE53-BC5B92B614A4}"/>
  </bookViews>
  <sheets>
    <sheet name="Aventuria - Mythen &amp; Legenden" sheetId="1" r:id="rId1"/>
    <sheet name="Vergleich" sheetId="2" state="hidden" r:id="rId2"/>
  </sheets>
  <definedNames>
    <definedName name="_xlnm.Print_Area" localSheetId="0">'Aventuria - Mythen &amp; Legenden'!$D$1:$O$111</definedName>
    <definedName name="_xlnm.Print_Titles" localSheetId="0">'Aventuria - Mythen &amp; Legenden'!$1:$10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2" i="1" l="1"/>
  <c r="AA102" i="1"/>
  <c r="D1" i="1"/>
  <c r="E2" i="1"/>
  <c r="AA101" i="1" l="1"/>
  <c r="AA100" i="1"/>
  <c r="AA99" i="1"/>
  <c r="R12" i="1"/>
  <c r="R13" i="1" s="1"/>
  <c r="W6" i="2"/>
  <c r="X6" i="2"/>
  <c r="W7" i="2"/>
  <c r="X7" i="2"/>
  <c r="W8" i="2"/>
  <c r="X8" i="2"/>
  <c r="W9" i="2"/>
  <c r="X9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AA98" i="1"/>
  <c r="AA97" i="1"/>
  <c r="AA96" i="1"/>
  <c r="AH20" i="1" s="1"/>
  <c r="AA94" i="1"/>
  <c r="AA95" i="1"/>
  <c r="AH4" i="1" s="1"/>
  <c r="AA93" i="1"/>
  <c r="AA92" i="1"/>
  <c r="AA91" i="1"/>
  <c r="AA17" i="1"/>
  <c r="Y18" i="1"/>
  <c r="AA90" i="1"/>
  <c r="AH11" i="1"/>
  <c r="AA89" i="1"/>
  <c r="AH9" i="1" s="1"/>
  <c r="AA88" i="1"/>
  <c r="AA82" i="1"/>
  <c r="AH2" i="1" s="1"/>
  <c r="AA87" i="1"/>
  <c r="AB82" i="1"/>
  <c r="AG2" i="1" s="1"/>
  <c r="AA86" i="1"/>
  <c r="AH8" i="1" l="1"/>
  <c r="AH21" i="1"/>
  <c r="AH17" i="1"/>
  <c r="AH12" i="1"/>
  <c r="AH6" i="1"/>
  <c r="AH15" i="1"/>
  <c r="R14" i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AH7" i="1"/>
  <c r="AH3" i="1"/>
  <c r="AH16" i="1"/>
  <c r="AH13" i="1"/>
  <c r="AA85" i="1"/>
  <c r="Z18" i="1"/>
  <c r="Y30" i="1"/>
  <c r="Y26" i="1"/>
  <c r="Y22" i="1"/>
  <c r="Y19" i="1"/>
  <c r="AL106" i="1"/>
  <c r="AH106" i="1"/>
  <c r="AO20" i="2"/>
  <c r="AO21" i="2" s="1"/>
  <c r="AN20" i="2"/>
  <c r="AM20" i="2"/>
  <c r="AL20" i="2"/>
  <c r="AI20" i="2"/>
  <c r="AH20" i="2"/>
  <c r="K81" i="1"/>
  <c r="Q9" i="1"/>
  <c r="L10" i="1"/>
  <c r="K65" i="1"/>
  <c r="K51" i="1"/>
  <c r="AH19" i="1" l="1"/>
  <c r="AH22" i="1"/>
  <c r="Z19" i="1"/>
  <c r="Z20" i="1" s="1"/>
  <c r="Z21" i="1" s="1"/>
  <c r="Z22" i="1" s="1"/>
  <c r="Z23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AM21" i="2"/>
  <c r="AR20" i="2"/>
  <c r="AQ20" i="2"/>
  <c r="AR19" i="2"/>
  <c r="AQ19" i="2"/>
  <c r="AI21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29" i="2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F106" i="1" s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D106" i="1" s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BA106" i="1" s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Y106" i="1" s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W106" i="1" s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U106" i="1" s="1"/>
  <c r="AJ106" i="1"/>
  <c r="AM84" i="1"/>
  <c r="AF106" i="1"/>
  <c r="I81" i="1"/>
  <c r="AM82" i="1"/>
  <c r="AM81" i="1"/>
  <c r="AI82" i="1"/>
  <c r="AI83" i="1"/>
  <c r="AI81" i="1"/>
  <c r="AL105" i="1"/>
  <c r="AH105" i="1"/>
  <c r="AL104" i="1"/>
  <c r="AH104" i="1"/>
  <c r="AR15" i="2"/>
  <c r="AR14" i="2"/>
  <c r="AQ15" i="2"/>
  <c r="AQ14" i="2"/>
  <c r="AO15" i="2"/>
  <c r="AN15" i="2"/>
  <c r="AM15" i="2"/>
  <c r="AL15" i="2"/>
  <c r="AI15" i="2"/>
  <c r="AH15" i="2"/>
  <c r="AR9" i="2"/>
  <c r="AR8" i="2"/>
  <c r="AQ9" i="2"/>
  <c r="AQ8" i="2"/>
  <c r="AI9" i="2"/>
  <c r="AH9" i="2"/>
  <c r="AI10" i="2" s="1"/>
  <c r="AO9" i="2"/>
  <c r="AN9" i="2"/>
  <c r="BA107" i="1" l="1"/>
  <c r="BF107" i="1"/>
  <c r="BF108" i="1" s="1"/>
  <c r="BF109" i="1" s="1"/>
  <c r="BF110" i="1" s="1"/>
  <c r="BF111" i="1" s="1"/>
  <c r="BF112" i="1" s="1"/>
  <c r="BF113" i="1" s="1"/>
  <c r="BF114" i="1" s="1"/>
  <c r="BF115" i="1" s="1"/>
  <c r="BF116" i="1" s="1"/>
  <c r="BF117" i="1" s="1"/>
  <c r="BF118" i="1" s="1"/>
  <c r="BF119" i="1" s="1"/>
  <c r="BF120" i="1" s="1"/>
  <c r="BF121" i="1" s="1"/>
  <c r="BF122" i="1" s="1"/>
  <c r="BF123" i="1" s="1"/>
  <c r="AH107" i="1"/>
  <c r="AL107" i="1"/>
  <c r="AK84" i="1"/>
  <c r="K84" i="1"/>
  <c r="AU107" i="1"/>
  <c r="AU108" i="1" s="1"/>
  <c r="AU109" i="1" s="1"/>
  <c r="AU110" i="1" s="1"/>
  <c r="AU111" i="1" s="1"/>
  <c r="AU112" i="1" s="1"/>
  <c r="AU113" i="1" s="1"/>
  <c r="AU114" i="1" s="1"/>
  <c r="AU115" i="1" s="1"/>
  <c r="AU116" i="1" s="1"/>
  <c r="AU117" i="1" s="1"/>
  <c r="AU118" i="1" s="1"/>
  <c r="AU119" i="1" s="1"/>
  <c r="AU120" i="1" s="1"/>
  <c r="AU121" i="1" s="1"/>
  <c r="AU122" i="1" s="1"/>
  <c r="AU123" i="1" s="1"/>
  <c r="BD107" i="1"/>
  <c r="BD108" i="1" s="1"/>
  <c r="BD109" i="1" s="1"/>
  <c r="BD110" i="1" s="1"/>
  <c r="BD111" i="1" s="1"/>
  <c r="BD112" i="1" s="1"/>
  <c r="BD113" i="1" s="1"/>
  <c r="BD114" i="1" s="1"/>
  <c r="BD115" i="1" s="1"/>
  <c r="BD116" i="1" s="1"/>
  <c r="BD117" i="1" s="1"/>
  <c r="BD118" i="1" s="1"/>
  <c r="BD119" i="1" s="1"/>
  <c r="BD120" i="1" s="1"/>
  <c r="BD121" i="1" s="1"/>
  <c r="BD122" i="1" s="1"/>
  <c r="BD123" i="1" s="1"/>
  <c r="BA108" i="1"/>
  <c r="BA109" i="1" s="1"/>
  <c r="BA110" i="1" s="1"/>
  <c r="BA111" i="1" s="1"/>
  <c r="BA112" i="1" s="1"/>
  <c r="BA113" i="1" s="1"/>
  <c r="BA114" i="1" s="1"/>
  <c r="BA115" i="1" s="1"/>
  <c r="BA116" i="1" s="1"/>
  <c r="BA117" i="1" s="1"/>
  <c r="BA118" i="1" s="1"/>
  <c r="BA119" i="1" s="1"/>
  <c r="BA120" i="1" s="1"/>
  <c r="BA121" i="1" s="1"/>
  <c r="BA122" i="1" s="1"/>
  <c r="BA123" i="1" s="1"/>
  <c r="AY107" i="1"/>
  <c r="AY108" i="1" s="1"/>
  <c r="AY109" i="1" s="1"/>
  <c r="AY110" i="1" s="1"/>
  <c r="AY111" i="1" s="1"/>
  <c r="AY112" i="1" s="1"/>
  <c r="AY113" i="1" s="1"/>
  <c r="AY114" i="1" s="1"/>
  <c r="AY115" i="1" s="1"/>
  <c r="AY116" i="1" s="1"/>
  <c r="AY117" i="1" s="1"/>
  <c r="AY118" i="1" s="1"/>
  <c r="AY119" i="1" s="1"/>
  <c r="AY120" i="1" s="1"/>
  <c r="AY121" i="1" s="1"/>
  <c r="AY122" i="1" s="1"/>
  <c r="AY123" i="1" s="1"/>
  <c r="AW107" i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M83" i="1"/>
  <c r="AI84" i="1" l="1"/>
  <c r="BB82" i="1" l="1"/>
  <c r="L82" i="1" s="1"/>
  <c r="BB83" i="1"/>
  <c r="L83" i="1" s="1"/>
  <c r="BB84" i="1"/>
  <c r="L84" i="1" s="1"/>
  <c r="BB85" i="1"/>
  <c r="L85" i="1" s="1"/>
  <c r="BB86" i="1"/>
  <c r="L86" i="1" s="1"/>
  <c r="BB87" i="1"/>
  <c r="L87" i="1" s="1"/>
  <c r="BB88" i="1"/>
  <c r="L88" i="1" s="1"/>
  <c r="BB89" i="1"/>
  <c r="L89" i="1" s="1"/>
  <c r="BB90" i="1"/>
  <c r="L90" i="1" s="1"/>
  <c r="BB91" i="1"/>
  <c r="L91" i="1" s="1"/>
  <c r="BB92" i="1"/>
  <c r="L92" i="1" s="1"/>
  <c r="BB93" i="1"/>
  <c r="L93" i="1" s="1"/>
  <c r="BB94" i="1"/>
  <c r="L94" i="1" s="1"/>
  <c r="BB95" i="1"/>
  <c r="L95" i="1" s="1"/>
  <c r="BB96" i="1"/>
  <c r="L96" i="1" s="1"/>
  <c r="BB97" i="1"/>
  <c r="L97" i="1" s="1"/>
  <c r="BB98" i="1"/>
  <c r="L98" i="1" s="1"/>
  <c r="BB99" i="1"/>
  <c r="L99" i="1" s="1"/>
  <c r="BB100" i="1"/>
  <c r="L100" i="1" s="1"/>
  <c r="BB101" i="1"/>
  <c r="L101" i="1" s="1"/>
  <c r="BB102" i="1"/>
  <c r="L102" i="1" s="1"/>
  <c r="BB80" i="1"/>
  <c r="I82" i="1"/>
  <c r="I83" i="1"/>
  <c r="L24" i="2"/>
  <c r="K2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4" i="2"/>
  <c r="N24" i="2"/>
  <c r="M24" i="2"/>
  <c r="W3" i="2"/>
  <c r="X3" i="2"/>
  <c r="X4" i="2"/>
  <c r="X5" i="2"/>
  <c r="X28" i="2" s="1"/>
  <c r="Y17" i="1" l="1"/>
  <c r="N44" i="1"/>
  <c r="N40" i="1"/>
  <c r="D2" i="1"/>
  <c r="Y11" i="1" l="1"/>
  <c r="AA22" i="1"/>
  <c r="Q22" i="1" s="1"/>
  <c r="Y15" i="1"/>
  <c r="AA29" i="1"/>
  <c r="Q29" i="1" s="1"/>
  <c r="AA25" i="1"/>
  <c r="Q25" i="1" s="1"/>
  <c r="AA21" i="1"/>
  <c r="Q21" i="1" s="1"/>
  <c r="AA33" i="1"/>
  <c r="Q33" i="1" s="1"/>
  <c r="AA18" i="1"/>
  <c r="Q18" i="1" s="1"/>
  <c r="AA31" i="1"/>
  <c r="Q31" i="1" s="1"/>
  <c r="AA27" i="1"/>
  <c r="Q27" i="1" s="1"/>
  <c r="AA23" i="1"/>
  <c r="Q23" i="1" s="1"/>
  <c r="AA19" i="1"/>
  <c r="Q19" i="1" s="1"/>
  <c r="AA32" i="1"/>
  <c r="Q32" i="1" s="1"/>
  <c r="AA28" i="1"/>
  <c r="Q28" i="1" s="1"/>
  <c r="AA20" i="1"/>
  <c r="Q20" i="1" s="1"/>
  <c r="AA34" i="1"/>
  <c r="Q34" i="1" s="1"/>
  <c r="AA30" i="1"/>
  <c r="Q30" i="1" s="1"/>
  <c r="AA26" i="1"/>
  <c r="Q26" i="1" s="1"/>
  <c r="AA83" i="1"/>
  <c r="AZ76" i="1"/>
  <c r="BA69" i="1" s="1"/>
  <c r="BA81" i="1"/>
  <c r="BD80" i="1"/>
  <c r="BD81" i="1" s="1"/>
  <c r="BD82" i="1" s="1"/>
  <c r="BD83" i="1" s="1"/>
  <c r="BD84" i="1" s="1"/>
  <c r="BD85" i="1" s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AM9" i="2"/>
  <c r="AL9" i="2"/>
  <c r="AK9" i="2"/>
  <c r="AJ9" i="2"/>
  <c r="AF24" i="2"/>
  <c r="AE24" i="2"/>
  <c r="AC24" i="2"/>
  <c r="AB24" i="2"/>
  <c r="AA24" i="2"/>
  <c r="Z24" i="2"/>
  <c r="Y24" i="2"/>
  <c r="J24" i="2"/>
  <c r="I24" i="2"/>
  <c r="H24" i="2"/>
  <c r="H18" i="2" s="1"/>
  <c r="G24" i="2"/>
  <c r="G18" i="2" s="1"/>
  <c r="F24" i="2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E24" i="2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AD23" i="2"/>
  <c r="Z23" i="2"/>
  <c r="Y23" i="2"/>
  <c r="AD22" i="2"/>
  <c r="Z22" i="2"/>
  <c r="Y22" i="2"/>
  <c r="AD21" i="2"/>
  <c r="Z21" i="2"/>
  <c r="Y21" i="2"/>
  <c r="AD20" i="2"/>
  <c r="Z20" i="2"/>
  <c r="Y20" i="2"/>
  <c r="AD19" i="2"/>
  <c r="Z19" i="2"/>
  <c r="Y19" i="2"/>
  <c r="AC19" i="2"/>
  <c r="H19" i="2"/>
  <c r="G19" i="2"/>
  <c r="AD18" i="2"/>
  <c r="AC18" i="2"/>
  <c r="Z18" i="2"/>
  <c r="Y18" i="2"/>
  <c r="AC17" i="2"/>
  <c r="Z17" i="2"/>
  <c r="Y17" i="2"/>
  <c r="AD16" i="2"/>
  <c r="AC16" i="2"/>
  <c r="Z16" i="2"/>
  <c r="Y16" i="2"/>
  <c r="AC15" i="2"/>
  <c r="Z15" i="2"/>
  <c r="Y15" i="2"/>
  <c r="P15" i="2"/>
  <c r="P16" i="2" s="1"/>
  <c r="P17" i="2" s="1"/>
  <c r="P18" i="2" s="1"/>
  <c r="P19" i="2" s="1"/>
  <c r="P20" i="2" s="1"/>
  <c r="P21" i="2" s="1"/>
  <c r="P22" i="2" s="1"/>
  <c r="P23" i="2" s="1"/>
  <c r="O15" i="2"/>
  <c r="O16" i="2" s="1"/>
  <c r="O17" i="2" s="1"/>
  <c r="O18" i="2" s="1"/>
  <c r="O19" i="2" s="1"/>
  <c r="O20" i="2" s="1"/>
  <c r="O21" i="2" s="1"/>
  <c r="O22" i="2" s="1"/>
  <c r="O23" i="2" s="1"/>
  <c r="AD14" i="2"/>
  <c r="AC14" i="2"/>
  <c r="AB14" i="2"/>
  <c r="AA14" i="2"/>
  <c r="Z14" i="2"/>
  <c r="Y14" i="2"/>
  <c r="AC13" i="2"/>
  <c r="Z13" i="2"/>
  <c r="Y13" i="2"/>
  <c r="AD12" i="2"/>
  <c r="AC12" i="2"/>
  <c r="Z12" i="2"/>
  <c r="Y12" i="2"/>
  <c r="AC11" i="2"/>
  <c r="Z11" i="2"/>
  <c r="Y11" i="2"/>
  <c r="AD10" i="2"/>
  <c r="AC10" i="2"/>
  <c r="Z10" i="2"/>
  <c r="Y10" i="2"/>
  <c r="AC9" i="2"/>
  <c r="Z9" i="2"/>
  <c r="Y9" i="2"/>
  <c r="AD8" i="2"/>
  <c r="AC8" i="2"/>
  <c r="Z8" i="2"/>
  <c r="Y8" i="2"/>
  <c r="AC7" i="2"/>
  <c r="Z7" i="2"/>
  <c r="Y7" i="2"/>
  <c r="T7" i="2"/>
  <c r="T8" i="2" s="1"/>
  <c r="T9" i="2" s="1"/>
  <c r="T10" i="2" s="1"/>
  <c r="T11" i="2" s="1"/>
  <c r="T12" i="2" s="1"/>
  <c r="S7" i="2"/>
  <c r="AF6" i="2"/>
  <c r="AE6" i="2"/>
  <c r="AC6" i="2"/>
  <c r="Z6" i="2"/>
  <c r="Y6" i="2"/>
  <c r="AC5" i="2"/>
  <c r="Z5" i="2"/>
  <c r="Y5" i="2"/>
  <c r="P5" i="2"/>
  <c r="P6" i="2" s="1"/>
  <c r="P7" i="2" s="1"/>
  <c r="P8" i="2" s="1"/>
  <c r="P9" i="2" s="1"/>
  <c r="P10" i="2" s="1"/>
  <c r="P11" i="2" s="1"/>
  <c r="P12" i="2" s="1"/>
  <c r="P13" i="2" s="1"/>
  <c r="O5" i="2"/>
  <c r="O6" i="2" s="1"/>
  <c r="O7" i="2" s="1"/>
  <c r="O8" i="2" s="1"/>
  <c r="O9" i="2" s="1"/>
  <c r="O10" i="2" s="1"/>
  <c r="O11" i="2" s="1"/>
  <c r="O12" i="2" s="1"/>
  <c r="O13" i="2" s="1"/>
  <c r="AD4" i="2"/>
  <c r="AC4" i="2"/>
  <c r="AB4" i="2"/>
  <c r="AA4" i="2"/>
  <c r="Z4" i="2"/>
  <c r="Y4" i="2"/>
  <c r="T4" i="2"/>
  <c r="T5" i="2" s="1"/>
  <c r="S4" i="2"/>
  <c r="S5" i="2" s="1"/>
  <c r="AM16" i="2" s="1"/>
  <c r="AF3" i="2"/>
  <c r="AE3" i="2"/>
  <c r="AD3" i="2"/>
  <c r="AC3" i="2"/>
  <c r="AB3" i="2"/>
  <c r="AA3" i="2"/>
  <c r="Z3" i="2"/>
  <c r="Y3" i="2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A98" i="1"/>
  <c r="BH103" i="1"/>
  <c r="BH93" i="1"/>
  <c r="BH83" i="1"/>
  <c r="BE103" i="1"/>
  <c r="BC103" i="1"/>
  <c r="AC81" i="1"/>
  <c r="V81" i="1"/>
  <c r="S81" i="1"/>
  <c r="W4" i="2"/>
  <c r="AH14" i="1" l="1"/>
  <c r="AH5" i="1"/>
  <c r="AG81" i="1"/>
  <c r="AK81" i="1"/>
  <c r="W5" i="2"/>
  <c r="W28" i="2" s="1"/>
  <c r="H15" i="2"/>
  <c r="K74" i="1"/>
  <c r="BA68" i="1"/>
  <c r="AD81" i="1"/>
  <c r="BA74" i="1"/>
  <c r="BA70" i="1"/>
  <c r="BA65" i="1"/>
  <c r="BA73" i="1"/>
  <c r="BA76" i="1"/>
  <c r="BA72" i="1"/>
  <c r="BA67" i="1"/>
  <c r="BA75" i="1"/>
  <c r="BA71" i="1"/>
  <c r="BA66" i="1"/>
  <c r="F4" i="2"/>
  <c r="F5" i="2" s="1"/>
  <c r="F6" i="2" s="1"/>
  <c r="F7" i="2" s="1"/>
  <c r="F8" i="2" s="1"/>
  <c r="F9" i="2" s="1"/>
  <c r="F10" i="2" s="1"/>
  <c r="F11" i="2" s="1"/>
  <c r="F12" i="2" s="1"/>
  <c r="F13" i="2" s="1"/>
  <c r="I5" i="2"/>
  <c r="J4" i="2"/>
  <c r="E4" i="2"/>
  <c r="E5" i="2" s="1"/>
  <c r="E6" i="2" s="1"/>
  <c r="E7" i="2" s="1"/>
  <c r="E8" i="2" s="1"/>
  <c r="E9" i="2" s="1"/>
  <c r="E10" i="2" s="1"/>
  <c r="E11" i="2" s="1"/>
  <c r="E12" i="2" s="1"/>
  <c r="E13" i="2" s="1"/>
  <c r="I4" i="2"/>
  <c r="I6" i="2"/>
  <c r="I7" i="2"/>
  <c r="H7" i="2"/>
  <c r="H9" i="2"/>
  <c r="H20" i="2"/>
  <c r="H21" i="2"/>
  <c r="H22" i="2"/>
  <c r="H23" i="2"/>
  <c r="H5" i="2"/>
  <c r="H11" i="2"/>
  <c r="H13" i="2"/>
  <c r="H17" i="2"/>
  <c r="AK10" i="2"/>
  <c r="J6" i="2"/>
  <c r="G5" i="2"/>
  <c r="G8" i="2"/>
  <c r="G16" i="2"/>
  <c r="G4" i="2"/>
  <c r="G11" i="2"/>
  <c r="G15" i="2"/>
  <c r="G17" i="2"/>
  <c r="G6" i="2"/>
  <c r="G9" i="2"/>
  <c r="G12" i="2"/>
  <c r="G14" i="2"/>
  <c r="AM10" i="2"/>
  <c r="G7" i="2"/>
  <c r="G10" i="2"/>
  <c r="G13" i="2"/>
  <c r="T13" i="2"/>
  <c r="T14" i="2" s="1"/>
  <c r="J12" i="2"/>
  <c r="S8" i="2"/>
  <c r="J10" i="2"/>
  <c r="AC20" i="2"/>
  <c r="G20" i="2"/>
  <c r="AC21" i="2"/>
  <c r="G21" i="2"/>
  <c r="AC22" i="2"/>
  <c r="G22" i="2"/>
  <c r="AC23" i="2"/>
  <c r="G23" i="2"/>
  <c r="J8" i="2"/>
  <c r="AD24" i="2"/>
  <c r="H4" i="2"/>
  <c r="J5" i="2"/>
  <c r="AD5" i="2"/>
  <c r="H6" i="2"/>
  <c r="AD6" i="2"/>
  <c r="J7" i="2"/>
  <c r="AD7" i="2"/>
  <c r="H8" i="2"/>
  <c r="J9" i="2"/>
  <c r="AD9" i="2"/>
  <c r="H10" i="2"/>
  <c r="J11" i="2"/>
  <c r="AD11" i="2"/>
  <c r="H12" i="2"/>
  <c r="J13" i="2"/>
  <c r="AD13" i="2"/>
  <c r="H14" i="2"/>
  <c r="AD15" i="2"/>
  <c r="H16" i="2"/>
  <c r="AD17" i="2"/>
  <c r="AE81" i="1"/>
  <c r="K83" i="1"/>
  <c r="AF105" i="1" l="1"/>
  <c r="AG83" i="1"/>
  <c r="AJ105" i="1"/>
  <c r="J83" i="1"/>
  <c r="AI16" i="2"/>
  <c r="AE82" i="1"/>
  <c r="I8" i="2"/>
  <c r="S9" i="2"/>
  <c r="T15" i="2"/>
  <c r="J14" i="2"/>
  <c r="S10" i="2" l="1"/>
  <c r="I9" i="2"/>
  <c r="T16" i="2"/>
  <c r="J15" i="2"/>
  <c r="T17" i="2" l="1"/>
  <c r="J16" i="2"/>
  <c r="S11" i="2"/>
  <c r="I10" i="2"/>
  <c r="I11" i="2" l="1"/>
  <c r="S12" i="2"/>
  <c r="T18" i="2"/>
  <c r="J17" i="2"/>
  <c r="T19" i="2" l="1"/>
  <c r="J18" i="2"/>
  <c r="S13" i="2"/>
  <c r="I12" i="2"/>
  <c r="S14" i="2" l="1"/>
  <c r="I13" i="2"/>
  <c r="T20" i="2"/>
  <c r="J19" i="2"/>
  <c r="T21" i="2" l="1"/>
  <c r="J20" i="2"/>
  <c r="S15" i="2"/>
  <c r="I14" i="2"/>
  <c r="S16" i="2" l="1"/>
  <c r="I15" i="2"/>
  <c r="T22" i="2"/>
  <c r="J21" i="2"/>
  <c r="T23" i="2" l="1"/>
  <c r="J23" i="2" s="1"/>
  <c r="J22" i="2"/>
  <c r="S17" i="2"/>
  <c r="I16" i="2"/>
  <c r="S18" i="2" l="1"/>
  <c r="I17" i="2"/>
  <c r="S19" i="2" l="1"/>
  <c r="I18" i="2"/>
  <c r="S20" i="2" l="1"/>
  <c r="I19" i="2"/>
  <c r="S21" i="2" l="1"/>
  <c r="I20" i="2"/>
  <c r="S22" i="2" l="1"/>
  <c r="I21" i="2"/>
  <c r="S23" i="2" l="1"/>
  <c r="I23" i="2" s="1"/>
  <c r="I22" i="2"/>
  <c r="T82" i="1" l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l="1"/>
  <c r="T94" i="1" s="1"/>
  <c r="T95" i="1" s="1"/>
  <c r="T96" i="1" s="1"/>
  <c r="T97" i="1" s="1"/>
  <c r="T98" i="1" s="1"/>
  <c r="T99" i="1" s="1"/>
  <c r="T100" i="1" s="1"/>
  <c r="T101" i="1" s="1"/>
  <c r="T102" i="1" s="1"/>
  <c r="S92" i="1"/>
  <c r="M65" i="1"/>
  <c r="L65" i="1"/>
  <c r="J65" i="1"/>
  <c r="I65" i="1"/>
  <c r="H65" i="1"/>
  <c r="H68" i="1" s="1"/>
  <c r="G65" i="1"/>
  <c r="G68" i="1" s="1"/>
  <c r="S4" i="1"/>
  <c r="R4" i="1"/>
  <c r="T3" i="1"/>
  <c r="T2" i="1"/>
  <c r="L51" i="1"/>
  <c r="G69" i="1" l="1"/>
  <c r="K66" i="1"/>
  <c r="G66" i="1"/>
  <c r="L66" i="1"/>
  <c r="H66" i="1"/>
  <c r="J66" i="1"/>
  <c r="I67" i="1"/>
  <c r="K67" i="1"/>
  <c r="H67" i="1"/>
  <c r="G67" i="1"/>
  <c r="L67" i="1"/>
  <c r="E1" i="1"/>
  <c r="I68" i="1"/>
  <c r="J68" i="1"/>
  <c r="H69" i="1"/>
  <c r="I69" i="1"/>
  <c r="K69" i="1"/>
  <c r="J69" i="1"/>
  <c r="L68" i="1"/>
  <c r="I74" i="1"/>
  <c r="L74" i="1"/>
  <c r="N65" i="1"/>
  <c r="T4" i="1"/>
  <c r="J74" i="1" l="1"/>
  <c r="H74" i="1"/>
  <c r="G74" i="1"/>
  <c r="G71" i="1"/>
  <c r="V102" i="1"/>
  <c r="H102" i="1" s="1"/>
  <c r="S102" i="1"/>
  <c r="V101" i="1"/>
  <c r="H101" i="1" s="1"/>
  <c r="S101" i="1"/>
  <c r="V100" i="1"/>
  <c r="H100" i="1" s="1"/>
  <c r="S100" i="1"/>
  <c r="V99" i="1"/>
  <c r="H99" i="1" s="1"/>
  <c r="S99" i="1"/>
  <c r="V98" i="1"/>
  <c r="H98" i="1" s="1"/>
  <c r="S98" i="1"/>
  <c r="V97" i="1"/>
  <c r="H97" i="1" s="1"/>
  <c r="S97" i="1"/>
  <c r="V96" i="1"/>
  <c r="H96" i="1" s="1"/>
  <c r="S96" i="1"/>
  <c r="V95" i="1"/>
  <c r="H95" i="1" s="1"/>
  <c r="S95" i="1"/>
  <c r="V94" i="1"/>
  <c r="H94" i="1" s="1"/>
  <c r="S94" i="1"/>
  <c r="V93" i="1"/>
  <c r="H93" i="1" s="1"/>
  <c r="S93" i="1"/>
  <c r="V92" i="1"/>
  <c r="H92" i="1" s="1"/>
  <c r="V91" i="1"/>
  <c r="H91" i="1" s="1"/>
  <c r="S91" i="1"/>
  <c r="V90" i="1"/>
  <c r="H90" i="1" s="1"/>
  <c r="S90" i="1"/>
  <c r="V89" i="1"/>
  <c r="H89" i="1" s="1"/>
  <c r="S89" i="1"/>
  <c r="V88" i="1"/>
  <c r="H88" i="1" s="1"/>
  <c r="S88" i="1"/>
  <c r="V87" i="1"/>
  <c r="H87" i="1" s="1"/>
  <c r="S87" i="1"/>
  <c r="V86" i="1"/>
  <c r="H86" i="1" s="1"/>
  <c r="S86" i="1"/>
  <c r="V85" i="1"/>
  <c r="H85" i="1" s="1"/>
  <c r="S85" i="1"/>
  <c r="V84" i="1"/>
  <c r="H84" i="1" s="1"/>
  <c r="S84" i="1"/>
  <c r="AC83" i="1"/>
  <c r="AB83" i="1"/>
  <c r="AK83" i="1"/>
  <c r="V83" i="1"/>
  <c r="H83" i="1" s="1"/>
  <c r="S83" i="1"/>
  <c r="AC82" i="1"/>
  <c r="AG82" i="1"/>
  <c r="K82" i="1"/>
  <c r="V82" i="1"/>
  <c r="H82" i="1" s="1"/>
  <c r="AF80" i="1"/>
  <c r="J81" i="1" s="1"/>
  <c r="V80" i="1"/>
  <c r="S80" i="1"/>
  <c r="J51" i="1"/>
  <c r="I51" i="1"/>
  <c r="H51" i="1"/>
  <c r="I75" i="1" l="1"/>
  <c r="K72" i="1"/>
  <c r="K75" i="1"/>
  <c r="K76" i="1" s="1"/>
  <c r="AJ104" i="1"/>
  <c r="AJ107" i="1" s="1"/>
  <c r="J82" i="1"/>
  <c r="AF104" i="1"/>
  <c r="AF107" i="1" s="1"/>
  <c r="AK82" i="1"/>
  <c r="AI2" i="1" s="1"/>
  <c r="W81" i="1"/>
  <c r="AO81" i="1" s="1"/>
  <c r="H81" i="1"/>
  <c r="AE83" i="1"/>
  <c r="AD82" i="1"/>
  <c r="W85" i="1"/>
  <c r="W98" i="1"/>
  <c r="W99" i="1"/>
  <c r="W89" i="1"/>
  <c r="W94" i="1"/>
  <c r="W82" i="1"/>
  <c r="X82" i="1" s="1"/>
  <c r="AN82" i="1" s="1"/>
  <c r="W84" i="1"/>
  <c r="W88" i="1"/>
  <c r="W92" i="1"/>
  <c r="W93" i="1"/>
  <c r="W97" i="1"/>
  <c r="W102" i="1"/>
  <c r="W83" i="1"/>
  <c r="AO83" i="1" s="1"/>
  <c r="W87" i="1"/>
  <c r="W91" i="1"/>
  <c r="W96" i="1"/>
  <c r="W101" i="1"/>
  <c r="W86" i="1"/>
  <c r="W90" i="1"/>
  <c r="W95" i="1"/>
  <c r="W100" i="1"/>
  <c r="L75" i="1"/>
  <c r="L76" i="1" s="1"/>
  <c r="L72" i="1"/>
  <c r="AD83" i="1"/>
  <c r="I72" i="1"/>
  <c r="H72" i="1"/>
  <c r="G72" i="1"/>
  <c r="K102" i="1" l="1"/>
  <c r="AN81" i="1"/>
  <c r="AO82" i="1"/>
  <c r="X93" i="1"/>
  <c r="X83" i="1"/>
  <c r="AN83" i="1" s="1"/>
  <c r="X86" i="1"/>
  <c r="X85" i="1"/>
  <c r="X100" i="1"/>
  <c r="X84" i="1"/>
  <c r="X102" i="1"/>
  <c r="X88" i="1"/>
  <c r="X96" i="1"/>
  <c r="X95" i="1"/>
  <c r="X89" i="1"/>
  <c r="X87" i="1"/>
  <c r="X98" i="1"/>
  <c r="X97" i="1"/>
  <c r="X90" i="1"/>
  <c r="X101" i="1"/>
  <c r="X99" i="1"/>
  <c r="X92" i="1"/>
  <c r="X91" i="1"/>
  <c r="X94" i="1"/>
  <c r="J72" i="1"/>
  <c r="I76" i="1"/>
  <c r="G75" i="1"/>
  <c r="G76" i="1" s="1"/>
  <c r="J75" i="1"/>
  <c r="J76" i="1" s="1"/>
  <c r="H75" i="1"/>
  <c r="H76" i="1" s="1"/>
  <c r="K85" i="1" l="1"/>
  <c r="J102" i="1"/>
  <c r="K86" i="1" l="1"/>
  <c r="AA84" i="1"/>
  <c r="J84" i="1"/>
  <c r="AH18" i="1" l="1"/>
  <c r="AH10" i="1"/>
  <c r="K87" i="1"/>
  <c r="Y76" i="1"/>
  <c r="J85" i="1"/>
  <c r="AO84" i="1"/>
  <c r="K88" i="1" l="1"/>
  <c r="I84" i="1"/>
  <c r="AB84" i="1"/>
  <c r="J86" i="1"/>
  <c r="K89" i="1" l="1"/>
  <c r="AN84" i="1"/>
  <c r="AE84" i="1"/>
  <c r="J87" i="1"/>
  <c r="K90" i="1" l="1"/>
  <c r="J88" i="1"/>
  <c r="AC84" i="1"/>
  <c r="K91" i="1" l="1"/>
  <c r="J89" i="1"/>
  <c r="AD84" i="1"/>
  <c r="K92" i="1" l="1"/>
  <c r="J90" i="1"/>
  <c r="K93" i="1" l="1"/>
  <c r="J91" i="1"/>
  <c r="K94" i="1" l="1"/>
  <c r="J92" i="1"/>
  <c r="K95" i="1" l="1"/>
  <c r="J93" i="1"/>
  <c r="K96" i="1" l="1"/>
  <c r="J94" i="1"/>
  <c r="K97" i="1" l="1"/>
  <c r="J95" i="1"/>
  <c r="K98" i="1" l="1"/>
  <c r="J96" i="1"/>
  <c r="K99" i="1" l="1"/>
  <c r="J97" i="1"/>
  <c r="K100" i="1" l="1"/>
  <c r="J98" i="1"/>
  <c r="K101" i="1" l="1"/>
  <c r="J99" i="1"/>
  <c r="J101" i="1" l="1"/>
  <c r="J100" i="1"/>
  <c r="AO10" i="2" l="1"/>
  <c r="AO16" i="2"/>
  <c r="L20" i="2" l="1"/>
  <c r="L19" i="2"/>
  <c r="L22" i="2"/>
  <c r="L10" i="2"/>
  <c r="L5" i="2"/>
  <c r="L13" i="2"/>
  <c r="L21" i="2"/>
  <c r="L8" i="2"/>
  <c r="L4" i="2"/>
  <c r="L6" i="2"/>
  <c r="L11" i="2"/>
  <c r="L12" i="2"/>
  <c r="L7" i="2"/>
  <c r="L15" i="2"/>
  <c r="L23" i="2"/>
  <c r="L14" i="2"/>
  <c r="L16" i="2"/>
  <c r="L9" i="2"/>
  <c r="L17" i="2"/>
  <c r="L18" i="2"/>
  <c r="AF76" i="1" l="1"/>
  <c r="Z107" i="1" l="1"/>
  <c r="AR81" i="1" l="1"/>
  <c r="AS81" i="1" s="1"/>
  <c r="X24" i="2"/>
  <c r="AR84" i="1"/>
  <c r="AM102" i="1"/>
  <c r="AI102" i="1"/>
  <c r="AR83" i="1"/>
  <c r="AR82" i="1"/>
  <c r="AR80" i="1"/>
  <c r="AR85" i="1" l="1"/>
  <c r="AS83" i="1"/>
  <c r="AS82" i="1"/>
  <c r="AS84" i="1"/>
  <c r="N4" i="2"/>
  <c r="N6" i="2"/>
  <c r="N5" i="2"/>
  <c r="AI85" i="1"/>
  <c r="N7" i="2"/>
  <c r="AM85" i="1"/>
  <c r="AS85" i="1" l="1"/>
  <c r="AR86" i="1"/>
  <c r="AK85" i="1"/>
  <c r="I85" i="1"/>
  <c r="AO85" i="1"/>
  <c r="AG85" i="1"/>
  <c r="AB85" i="1"/>
  <c r="AG14" i="1" s="1"/>
  <c r="AI14" i="1" s="1"/>
  <c r="AC85" i="1"/>
  <c r="N8" i="2"/>
  <c r="AM86" i="1"/>
  <c r="AI86" i="1"/>
  <c r="AE85" i="1" l="1"/>
  <c r="AM87" i="1"/>
  <c r="N9" i="2"/>
  <c r="AI87" i="1"/>
  <c r="AD85" i="1"/>
  <c r="AN85" i="1"/>
  <c r="AR87" i="1"/>
  <c r="AS86" i="1"/>
  <c r="I86" i="1" l="1"/>
  <c r="AC86" i="1"/>
  <c r="AG86" i="1"/>
  <c r="AB86" i="1"/>
  <c r="AO86" i="1"/>
  <c r="AK86" i="1"/>
  <c r="AS87" i="1"/>
  <c r="AR88" i="1"/>
  <c r="N10" i="2"/>
  <c r="AI88" i="1"/>
  <c r="AM88" i="1"/>
  <c r="AE86" i="1" l="1"/>
  <c r="AS88" i="1"/>
  <c r="AD86" i="1"/>
  <c r="AN86" i="1"/>
  <c r="AR89" i="1"/>
  <c r="AM89" i="1"/>
  <c r="N11" i="2"/>
  <c r="AI89" i="1"/>
  <c r="AS89" i="1" l="1"/>
  <c r="AR90" i="1"/>
  <c r="AB87" i="1"/>
  <c r="I87" i="1"/>
  <c r="AC87" i="1"/>
  <c r="AK87" i="1"/>
  <c r="AO87" i="1"/>
  <c r="AG87" i="1"/>
  <c r="N12" i="2"/>
  <c r="AI90" i="1"/>
  <c r="AM90" i="1"/>
  <c r="AG17" i="1" l="1"/>
  <c r="AI17" i="1" s="1"/>
  <c r="AE87" i="1"/>
  <c r="AS90" i="1"/>
  <c r="AD87" i="1"/>
  <c r="AN87" i="1"/>
  <c r="AR91" i="1"/>
  <c r="N13" i="2"/>
  <c r="AI91" i="1"/>
  <c r="AM91" i="1"/>
  <c r="N14" i="2" l="1"/>
  <c r="AM92" i="1"/>
  <c r="AI92" i="1"/>
  <c r="AK88" i="1"/>
  <c r="AB88" i="1"/>
  <c r="AG88" i="1"/>
  <c r="I88" i="1"/>
  <c r="AC88" i="1"/>
  <c r="AO88" i="1"/>
  <c r="AR92" i="1"/>
  <c r="AS91" i="1"/>
  <c r="AE88" i="1" l="1"/>
  <c r="AI93" i="1"/>
  <c r="N15" i="2"/>
  <c r="AM93" i="1"/>
  <c r="AR93" i="1"/>
  <c r="AS92" i="1"/>
  <c r="AN88" i="1"/>
  <c r="AD88" i="1"/>
  <c r="AI94" i="1" l="1"/>
  <c r="N16" i="2"/>
  <c r="AM94" i="1"/>
  <c r="I89" i="1"/>
  <c r="AG89" i="1"/>
  <c r="AB89" i="1"/>
  <c r="AK89" i="1"/>
  <c r="AO89" i="1"/>
  <c r="AC89" i="1"/>
  <c r="AR94" i="1"/>
  <c r="AS93" i="1"/>
  <c r="AG9" i="1" l="1"/>
  <c r="AI9" i="1" s="1"/>
  <c r="AE89" i="1"/>
  <c r="AR95" i="1"/>
  <c r="AS94" i="1"/>
  <c r="AN89" i="1"/>
  <c r="AD89" i="1"/>
  <c r="N17" i="2"/>
  <c r="AI95" i="1"/>
  <c r="AM95" i="1"/>
  <c r="AR96" i="1" l="1"/>
  <c r="AS95" i="1"/>
  <c r="AI96" i="1"/>
  <c r="AM96" i="1"/>
  <c r="N18" i="2"/>
  <c r="I90" i="1"/>
  <c r="AC90" i="1"/>
  <c r="AG90" i="1"/>
  <c r="AK90" i="1"/>
  <c r="AO90" i="1"/>
  <c r="AB90" i="1"/>
  <c r="AG18" i="1" l="1"/>
  <c r="AI18" i="1" s="1"/>
  <c r="AE90" i="1"/>
  <c r="AD90" i="1"/>
  <c r="AN90" i="1"/>
  <c r="AR97" i="1"/>
  <c r="AS96" i="1"/>
  <c r="AI97" i="1"/>
  <c r="N19" i="2"/>
  <c r="AM97" i="1"/>
  <c r="AI98" i="1" l="1"/>
  <c r="N20" i="2"/>
  <c r="AM98" i="1"/>
  <c r="AR98" i="1"/>
  <c r="AS97" i="1"/>
  <c r="AO91" i="1"/>
  <c r="AG91" i="1"/>
  <c r="I91" i="1"/>
  <c r="AK91" i="1"/>
  <c r="AC91" i="1"/>
  <c r="AB91" i="1"/>
  <c r="AG11" i="1" l="1"/>
  <c r="AI11" i="1" s="1"/>
  <c r="AE91" i="1"/>
  <c r="AR99" i="1"/>
  <c r="AD91" i="1"/>
  <c r="AN91" i="1"/>
  <c r="AM99" i="1"/>
  <c r="X21" i="2"/>
  <c r="N21" i="2" s="1"/>
  <c r="AI99" i="1"/>
  <c r="AS98" i="1"/>
  <c r="AA103" i="1" l="1"/>
  <c r="AM100" i="1"/>
  <c r="X22" i="2"/>
  <c r="N22" i="2" s="1"/>
  <c r="AI100" i="1"/>
  <c r="AS99" i="1"/>
  <c r="AC92" i="1"/>
  <c r="AO92" i="1"/>
  <c r="AK92" i="1"/>
  <c r="I92" i="1"/>
  <c r="AB92" i="1"/>
  <c r="AG21" i="1" s="1"/>
  <c r="AI21" i="1" s="1"/>
  <c r="AG92" i="1"/>
  <c r="AR100" i="1"/>
  <c r="AE92" i="1" l="1"/>
  <c r="AS100" i="1"/>
  <c r="AN92" i="1"/>
  <c r="AD92" i="1"/>
  <c r="AR101" i="1"/>
  <c r="X23" i="2"/>
  <c r="N23" i="2" s="1"/>
  <c r="AI101" i="1"/>
  <c r="AM101" i="1"/>
  <c r="AK93" i="1" l="1"/>
  <c r="I93" i="1"/>
  <c r="AO93" i="1"/>
  <c r="AC93" i="1"/>
  <c r="AG93" i="1"/>
  <c r="AB93" i="1"/>
  <c r="AR102" i="1"/>
  <c r="AR118" i="1" s="1"/>
  <c r="AS101" i="1"/>
  <c r="AE93" i="1" l="1"/>
  <c r="AG12" i="1"/>
  <c r="AI12" i="1" s="1"/>
  <c r="AR120" i="1"/>
  <c r="AR123" i="1"/>
  <c r="AR107" i="1"/>
  <c r="AR106" i="1"/>
  <c r="AS106" i="1" s="1"/>
  <c r="AR108" i="1"/>
  <c r="AR110" i="1"/>
  <c r="AR109" i="1"/>
  <c r="AR111" i="1"/>
  <c r="AR112" i="1"/>
  <c r="AR114" i="1"/>
  <c r="AR116" i="1"/>
  <c r="AR113" i="1"/>
  <c r="AR115" i="1"/>
  <c r="AR117" i="1"/>
  <c r="AR119" i="1"/>
  <c r="AR121" i="1"/>
  <c r="AR122" i="1"/>
  <c r="AS102" i="1"/>
  <c r="AR103" i="1"/>
  <c r="AD93" i="1"/>
  <c r="AN93" i="1"/>
  <c r="AS107" i="1" l="1"/>
  <c r="AS108" i="1" s="1"/>
  <c r="AS109" i="1" s="1"/>
  <c r="AS110" i="1" s="1"/>
  <c r="AS111" i="1" s="1"/>
  <c r="AS112" i="1" s="1"/>
  <c r="AS113" i="1" s="1"/>
  <c r="AS114" i="1" s="1"/>
  <c r="AS115" i="1" s="1"/>
  <c r="AS116" i="1" s="1"/>
  <c r="AS117" i="1" s="1"/>
  <c r="AS118" i="1" s="1"/>
  <c r="AS119" i="1" s="1"/>
  <c r="AS120" i="1" s="1"/>
  <c r="AS121" i="1" s="1"/>
  <c r="AS122" i="1" s="1"/>
  <c r="AS123" i="1" s="1"/>
  <c r="AG94" i="1"/>
  <c r="AO94" i="1"/>
  <c r="AK94" i="1"/>
  <c r="I94" i="1"/>
  <c r="AC94" i="1"/>
  <c r="AB94" i="1"/>
  <c r="AG22" i="1" s="1"/>
  <c r="AI22" i="1" s="1"/>
  <c r="AE94" i="1" l="1"/>
  <c r="AD94" i="1"/>
  <c r="AN94" i="1"/>
  <c r="I95" i="1" l="1"/>
  <c r="AK95" i="1"/>
  <c r="AB95" i="1"/>
  <c r="AC95" i="1"/>
  <c r="AO95" i="1"/>
  <c r="AG95" i="1"/>
  <c r="AE95" i="1" l="1"/>
  <c r="AD95" i="1"/>
  <c r="AN95" i="1"/>
  <c r="AO96" i="1" l="1"/>
  <c r="AC96" i="1"/>
  <c r="AG96" i="1"/>
  <c r="I96" i="1"/>
  <c r="AK96" i="1"/>
  <c r="AB96" i="1"/>
  <c r="AG20" i="1" s="1"/>
  <c r="AI20" i="1" s="1"/>
  <c r="AE96" i="1" l="1"/>
  <c r="AN96" i="1"/>
  <c r="AD96" i="1"/>
  <c r="AK97" i="1" l="1"/>
  <c r="AO97" i="1"/>
  <c r="AB97" i="1"/>
  <c r="AG97" i="1"/>
  <c r="AC97" i="1"/>
  <c r="I97" i="1"/>
  <c r="AE97" i="1" l="1"/>
  <c r="AG8" i="1"/>
  <c r="AI8" i="1" s="1"/>
  <c r="AN97" i="1"/>
  <c r="AD97" i="1"/>
  <c r="I98" i="1" l="1"/>
  <c r="AK98" i="1"/>
  <c r="AC98" i="1"/>
  <c r="AG98" i="1"/>
  <c r="AO98" i="1"/>
  <c r="AB98" i="1"/>
  <c r="AE98" i="1" l="1"/>
  <c r="AG16" i="1"/>
  <c r="AI16" i="1" s="1"/>
  <c r="AD98" i="1"/>
  <c r="AN98" i="1"/>
  <c r="W21" i="2" l="1"/>
  <c r="I99" i="1"/>
  <c r="AB99" i="1"/>
  <c r="AG99" i="1"/>
  <c r="AO99" i="1"/>
  <c r="AK99" i="1"/>
  <c r="AC99" i="1"/>
  <c r="AG15" i="1" l="1"/>
  <c r="AI15" i="1" s="1"/>
  <c r="AE99" i="1"/>
  <c r="AG19" i="1"/>
  <c r="AI19" i="1" s="1"/>
  <c r="AG13" i="1"/>
  <c r="AI13" i="1" s="1"/>
  <c r="AD99" i="1"/>
  <c r="AN99" i="1"/>
  <c r="W22" i="2" l="1"/>
  <c r="AG100" i="1"/>
  <c r="AC100" i="1"/>
  <c r="I100" i="1"/>
  <c r="AO100" i="1"/>
  <c r="AB100" i="1"/>
  <c r="AK100" i="1"/>
  <c r="AE100" i="1" l="1"/>
  <c r="AG7" i="1"/>
  <c r="AI7" i="1" s="1"/>
  <c r="AG6" i="1"/>
  <c r="AI6" i="1" s="1"/>
  <c r="AD100" i="1"/>
  <c r="AN100" i="1"/>
  <c r="W23" i="2" l="1"/>
  <c r="I101" i="1"/>
  <c r="AK101" i="1"/>
  <c r="AB101" i="1"/>
  <c r="AC101" i="1"/>
  <c r="AO101" i="1"/>
  <c r="AG101" i="1"/>
  <c r="AG4" i="1" l="1"/>
  <c r="AI4" i="1" s="1"/>
  <c r="AE101" i="1"/>
  <c r="AG10" i="1"/>
  <c r="AI10" i="1" s="1"/>
  <c r="AN101" i="1"/>
  <c r="AD101" i="1"/>
  <c r="AP101" i="1" l="1"/>
  <c r="AC102" i="1"/>
  <c r="AX80" i="1"/>
  <c r="AG102" i="1"/>
  <c r="AK102" i="1"/>
  <c r="AP80" i="1"/>
  <c r="AB102" i="1"/>
  <c r="AG3" i="1" s="1"/>
  <c r="AI3" i="1" s="1"/>
  <c r="I102" i="1"/>
  <c r="W24" i="2"/>
  <c r="AP83" i="1"/>
  <c r="AP82" i="1"/>
  <c r="AO102" i="1"/>
  <c r="AP84" i="1"/>
  <c r="AP81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G5" i="1" l="1"/>
  <c r="AI5" i="1" s="1"/>
  <c r="M82" i="1"/>
  <c r="M83" i="1"/>
  <c r="M102" i="1"/>
  <c r="M84" i="1"/>
  <c r="M81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AP102" i="1"/>
  <c r="AP123" i="1" s="1"/>
  <c r="AD102" i="1"/>
  <c r="AN102" i="1"/>
  <c r="AB103" i="1"/>
  <c r="AD103" i="1" s="1"/>
  <c r="AX103" i="1"/>
  <c r="AY80" i="1"/>
  <c r="AY81" i="1" s="1"/>
  <c r="AY82" i="1" s="1"/>
  <c r="AY83" i="1" s="1"/>
  <c r="AY84" i="1" s="1"/>
  <c r="AY85" i="1" s="1"/>
  <c r="AY86" i="1" s="1"/>
  <c r="AY87" i="1" s="1"/>
  <c r="AY88" i="1" s="1"/>
  <c r="AY89" i="1" s="1"/>
  <c r="AY90" i="1" s="1"/>
  <c r="AY91" i="1" s="1"/>
  <c r="AY92" i="1" s="1"/>
  <c r="AY93" i="1" s="1"/>
  <c r="AY94" i="1" s="1"/>
  <c r="AY95" i="1" s="1"/>
  <c r="AY96" i="1" s="1"/>
  <c r="AY97" i="1" s="1"/>
  <c r="AY98" i="1" s="1"/>
  <c r="AY99" i="1" s="1"/>
  <c r="AY100" i="1" s="1"/>
  <c r="AY101" i="1" s="1"/>
  <c r="AY102" i="1" s="1"/>
  <c r="M4" i="2"/>
  <c r="M6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AQ80" i="1"/>
  <c r="AQ81" i="1" s="1"/>
  <c r="AQ82" i="1" s="1"/>
  <c r="AQ83" i="1" s="1"/>
  <c r="AQ84" i="1" s="1"/>
  <c r="AQ85" i="1" s="1"/>
  <c r="AQ86" i="1" s="1"/>
  <c r="AQ87" i="1" s="1"/>
  <c r="AQ88" i="1" s="1"/>
  <c r="AQ89" i="1" s="1"/>
  <c r="AQ90" i="1" s="1"/>
  <c r="AQ91" i="1" s="1"/>
  <c r="AQ92" i="1" s="1"/>
  <c r="AQ93" i="1" s="1"/>
  <c r="AQ94" i="1" s="1"/>
  <c r="AQ95" i="1" s="1"/>
  <c r="AQ96" i="1" s="1"/>
  <c r="AQ97" i="1" s="1"/>
  <c r="AQ98" i="1" s="1"/>
  <c r="AQ99" i="1" s="1"/>
  <c r="AQ100" i="1" s="1"/>
  <c r="AQ101" i="1" s="1"/>
  <c r="AZ80" i="1"/>
  <c r="BH114" i="1" l="1"/>
  <c r="BH118" i="1"/>
  <c r="AP103" i="1"/>
  <c r="N84" i="1"/>
  <c r="N98" i="1"/>
  <c r="N94" i="1"/>
  <c r="N90" i="1"/>
  <c r="N86" i="1"/>
  <c r="BH108" i="1"/>
  <c r="BH112" i="1"/>
  <c r="AP108" i="1"/>
  <c r="AP109" i="1"/>
  <c r="AP106" i="1"/>
  <c r="AQ106" i="1" s="1"/>
  <c r="AP119" i="1"/>
  <c r="AP112" i="1"/>
  <c r="AP113" i="1"/>
  <c r="AP110" i="1"/>
  <c r="AP107" i="1"/>
  <c r="AP116" i="1"/>
  <c r="AP117" i="1"/>
  <c r="AP114" i="1"/>
  <c r="AP111" i="1"/>
  <c r="BH110" i="1"/>
  <c r="AP122" i="1"/>
  <c r="AP120" i="1"/>
  <c r="AP121" i="1"/>
  <c r="AP118" i="1"/>
  <c r="AP115" i="1"/>
  <c r="AQ102" i="1"/>
  <c r="BH122" i="1"/>
  <c r="BH121" i="1"/>
  <c r="BH106" i="1"/>
  <c r="BH113" i="1"/>
  <c r="BH116" i="1"/>
  <c r="BH123" i="1"/>
  <c r="BH111" i="1"/>
  <c r="BH120" i="1"/>
  <c r="BH109" i="1"/>
  <c r="BH119" i="1"/>
  <c r="BH115" i="1"/>
  <c r="N101" i="1"/>
  <c r="N97" i="1"/>
  <c r="N93" i="1"/>
  <c r="N89" i="1"/>
  <c r="N83" i="1"/>
  <c r="BH107" i="1"/>
  <c r="BH117" i="1"/>
  <c r="N99" i="1"/>
  <c r="N95" i="1"/>
  <c r="N91" i="1"/>
  <c r="N87" i="1"/>
  <c r="N102" i="1"/>
  <c r="N85" i="1"/>
  <c r="BA86" i="1"/>
  <c r="BA97" i="1"/>
  <c r="BA89" i="1"/>
  <c r="BA92" i="1"/>
  <c r="BA90" i="1"/>
  <c r="BA102" i="1"/>
  <c r="BA95" i="1"/>
  <c r="BA99" i="1"/>
  <c r="BA87" i="1"/>
  <c r="BA93" i="1"/>
  <c r="BA83" i="1"/>
  <c r="BA91" i="1"/>
  <c r="BA84" i="1"/>
  <c r="BA96" i="1"/>
  <c r="BA88" i="1"/>
  <c r="BA100" i="1"/>
  <c r="BA85" i="1"/>
  <c r="BA82" i="1"/>
  <c r="BA94" i="1"/>
  <c r="AZ103" i="1"/>
  <c r="BA101" i="1"/>
  <c r="N100" i="1"/>
  <c r="N96" i="1"/>
  <c r="N92" i="1"/>
  <c r="N88" i="1"/>
  <c r="N82" i="1"/>
  <c r="AQ107" i="1" l="1"/>
  <c r="AQ108" i="1" s="1"/>
  <c r="AQ109" i="1" s="1"/>
  <c r="AQ110" i="1" s="1"/>
  <c r="AQ111" i="1" s="1"/>
  <c r="AQ112" i="1" s="1"/>
  <c r="AQ113" i="1" s="1"/>
  <c r="AQ114" i="1" s="1"/>
  <c r="AQ115" i="1" s="1"/>
  <c r="AQ116" i="1" s="1"/>
  <c r="AQ117" i="1" s="1"/>
  <c r="AQ118" i="1" s="1"/>
  <c r="AQ119" i="1" s="1"/>
  <c r="AQ120" i="1" s="1"/>
  <c r="AQ121" i="1" s="1"/>
  <c r="AQ122" i="1" s="1"/>
  <c r="AQ123" i="1" s="1"/>
  <c r="L9" i="1"/>
  <c r="Q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Gernot</author>
  </authors>
  <commentList>
    <comment ref="AE85" authorId="0" shapeId="0" xr:uid="{0E1B5588-89E2-4890-A599-BC79AA876F23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0!</t>
        </r>
      </text>
    </comment>
    <comment ref="AS98" authorId="0" shapeId="0" xr:uid="{36328D59-F7A0-4246-B53E-76B7CFCACFD6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AW98" authorId="0" shapeId="0" xr:uid="{F8D27A19-234A-4AB5-AB19-4B32B0178038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BA98" authorId="0" shapeId="0" xr:uid="{146B68AE-C9F4-46E9-80BD-9B0F0C443FC4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BF98" authorId="0" shapeId="0" xr:uid="{FE4D53D6-62EA-46C7-B3CE-6C8A0A0B53B1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</commentList>
</comments>
</file>

<file path=xl/sharedStrings.xml><?xml version="1.0" encoding="utf-8"?>
<sst xmlns="http://schemas.openxmlformats.org/spreadsheetml/2006/main" count="751" uniqueCount="316">
  <si>
    <t>Die grün markierten Produkte hast du bei dem entsprechenden Paket inklusive.</t>
  </si>
  <si>
    <t>Bitte setze hier deine "x"</t>
  </si>
  <si>
    <t>↓</t>
  </si>
  <si>
    <t>Mein Wunschpaket enthält ("x" setzen)</t>
  </si>
  <si>
    <t>Format</t>
  </si>
  <si>
    <t>UVP-Preis
im F-Shop</t>
  </si>
  <si>
    <t>µ</t>
  </si>
  <si>
    <t>-</t>
  </si>
  <si>
    <t>Schätzpreis, Preis nach CF ist unbekannt</t>
  </si>
  <si>
    <t>Deine Kosten</t>
  </si>
  <si>
    <t>/</t>
  </si>
  <si>
    <t>Deine Ersparnis</t>
  </si>
  <si>
    <t>Deine zusätzlichen Produkte</t>
  </si>
  <si>
    <t>x</t>
  </si>
  <si>
    <t>Ziel</t>
  </si>
  <si>
    <r>
      <t xml:space="preserve">Das zahlst du insgesamt für </t>
    </r>
    <r>
      <rPr>
        <b/>
        <sz val="11"/>
        <color rgb="FF0070C0"/>
        <rFont val="Book Antiqua"/>
        <family val="1"/>
      </rPr>
      <t>die jeweilige Kombination</t>
    </r>
    <r>
      <rPr>
        <b/>
        <sz val="11"/>
        <color theme="1"/>
        <rFont val="Book Antiqua"/>
        <family val="1"/>
      </rPr>
      <t xml:space="preserve">, die </t>
    </r>
    <r>
      <rPr>
        <b/>
        <sz val="11"/>
        <color rgb="FFFF0000"/>
        <rFont val="Book Antiqua"/>
        <family val="1"/>
      </rPr>
      <t>dein Wunschpaket</t>
    </r>
    <r>
      <rPr>
        <b/>
        <sz val="11"/>
        <color theme="1"/>
        <rFont val="Book Antiqua"/>
        <family val="1"/>
      </rPr>
      <t xml:space="preserve"> inkl. der Zusatzprodukte mit abdeckt:</t>
    </r>
  </si>
  <si>
    <r>
      <t xml:space="preserve">Diesen Rabatt gewährt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color theme="1"/>
        <rFont val="Book Antiqua"/>
        <family val="1"/>
      </rPr>
      <t xml:space="preserve"> somit gegenüber dem Einkauf </t>
    </r>
    <r>
      <rPr>
        <b/>
        <i/>
        <sz val="10"/>
        <color rgb="FFFF0000"/>
        <rFont val="Book Antiqua"/>
        <family val="1"/>
      </rPr>
      <t xml:space="preserve">deines Wunschpakets </t>
    </r>
    <r>
      <rPr>
        <b/>
        <i/>
        <sz val="10"/>
        <color theme="1"/>
        <rFont val="Book Antiqua"/>
        <family val="1"/>
      </rPr>
      <t>(nach dem Crowdfunding) im F-Shop:</t>
    </r>
  </si>
  <si>
    <t>µ
µ</t>
  </si>
  <si>
    <t>Preis als
Zusatz-produkt</t>
  </si>
  <si>
    <t>Die rot markierten Produkte musst du bei dem entsprechenden Paket als Zusatzprodukt im CF hinzubuchen.</t>
  </si>
  <si>
    <r>
      <t xml:space="preserve">Das kostet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rFont val="Book Antiqua"/>
        <family val="1"/>
      </rPr>
      <t xml:space="preserve"> (nach dem Crowdfunding) im </t>
    </r>
    <r>
      <rPr>
        <b/>
        <i/>
        <sz val="10"/>
        <color theme="1"/>
        <rFont val="Book Antiqua"/>
        <family val="1"/>
      </rPr>
      <t>F-Shop (voraussichtlich) insgesamt:</t>
    </r>
  </si>
  <si>
    <t>Kein Paket</t>
  </si>
  <si>
    <t>Donnerstag</t>
  </si>
  <si>
    <t>Hochrechnung (könnte passen, oder auch nicht ;) )</t>
  </si>
  <si>
    <t>Datum</t>
  </si>
  <si>
    <r>
      <rPr>
        <b/>
        <u/>
        <sz val="11"/>
        <color theme="1"/>
        <rFont val="Book Antiqua"/>
        <family val="1"/>
      </rPr>
      <t>Physische</t>
    </r>
    <r>
      <rPr>
        <b/>
        <sz val="11"/>
        <color theme="1"/>
        <rFont val="Book Antiqua"/>
        <family val="1"/>
      </rPr>
      <t xml:space="preserve"> Produkte des Crowdfundings</t>
    </r>
  </si>
  <si>
    <t>Acryl</t>
  </si>
  <si>
    <t>Zusatzprodukt</t>
  </si>
  <si>
    <t>Backer</t>
  </si>
  <si>
    <t>€</t>
  </si>
  <si>
    <t>letzter Stand</t>
  </si>
  <si>
    <t>erreichte Ziele</t>
  </si>
  <si>
    <t>nächste Stufe</t>
  </si>
  <si>
    <t>Abweichung</t>
  </si>
  <si>
    <t>alt</t>
  </si>
  <si>
    <t>aktuell</t>
  </si>
  <si>
    <t>1.</t>
  </si>
  <si>
    <t>2.</t>
  </si>
  <si>
    <t>5.</t>
  </si>
  <si>
    <t>3.</t>
  </si>
  <si>
    <t>7.</t>
  </si>
  <si>
    <t>10.</t>
  </si>
  <si>
    <t>9.</t>
  </si>
  <si>
    <t>AKTUALISIEREN!</t>
  </si>
  <si>
    <r>
      <t xml:space="preserve">(made with </t>
    </r>
    <r>
      <rPr>
        <b/>
        <sz val="12"/>
        <color rgb="FFC00000"/>
        <rFont val="Book Antiqua"/>
        <family val="1"/>
      </rPr>
      <t>Auge</t>
    </r>
    <r>
      <rPr>
        <b/>
        <sz val="12"/>
        <color theme="1"/>
        <rFont val="Book Antiqua"/>
        <family val="1"/>
      </rPr>
      <t xml:space="preserve"> by Hinter dem Auge …der DSA-Info-Podcast!)</t>
    </r>
  </si>
  <si>
    <t>UVP-Preis
im F-Shop /ebooks</t>
  </si>
  <si>
    <t>11.</t>
  </si>
  <si>
    <t>(alle Angaben ohne Gewähr!)</t>
  </si>
  <si>
    <t>Anzahl Unterstützer je Dankeschön</t>
  </si>
  <si>
    <t>für deine</t>
  </si>
  <si>
    <t>13.</t>
  </si>
  <si>
    <t>15.</t>
  </si>
  <si>
    <t>Tag</t>
  </si>
  <si>
    <t>Wochentag</t>
  </si>
  <si>
    <t>Timecode</t>
  </si>
  <si>
    <t>Uhrzeit</t>
  </si>
  <si>
    <t>h ges.</t>
  </si>
  <si>
    <t>h Diff.</t>
  </si>
  <si>
    <t>€ ges. Ist</t>
  </si>
  <si>
    <t>Abw.</t>
  </si>
  <si>
    <t>€ Diff.</t>
  </si>
  <si>
    <t>Backer ges.</t>
  </si>
  <si>
    <t>€/Backer</t>
  </si>
  <si>
    <t>€/Tag</t>
  </si>
  <si>
    <t>€/Tag ges.</t>
  </si>
  <si>
    <t>Backer Diff.</t>
  </si>
  <si>
    <t>Schnitt l. 5 Tage</t>
  </si>
  <si>
    <t>€/Backer NEU</t>
  </si>
  <si>
    <t>DSK:Fasar</t>
  </si>
  <si>
    <t>AVENTURIA:Nedime</t>
  </si>
  <si>
    <t>DSA:Werkzeuge</t>
  </si>
  <si>
    <t>DSA:Thorwal</t>
  </si>
  <si>
    <t>%</t>
  </si>
  <si>
    <t>Original</t>
  </si>
  <si>
    <t>Normiert</t>
  </si>
  <si>
    <t>Tag 1 mal X</t>
  </si>
  <si>
    <t>Thorwal norm (€)</t>
  </si>
  <si>
    <t>Thorwal norm (Backer)</t>
  </si>
  <si>
    <t>Werkzeuge norm (€)</t>
  </si>
  <si>
    <t>Werkzeuge norm (Backer)</t>
  </si>
  <si>
    <t>Mythos norm (€)</t>
  </si>
  <si>
    <t>Mythos norm (Backer)</t>
  </si>
  <si>
    <t>Thorwal (€)</t>
  </si>
  <si>
    <t>Thorwal (Backer)</t>
  </si>
  <si>
    <t>Werkzeuge (€)</t>
  </si>
  <si>
    <t>Werkzeuge (Backer)</t>
  </si>
  <si>
    <t>Mythos (€)</t>
  </si>
  <si>
    <t>Mythos (Backer)</t>
  </si>
  <si>
    <t>Aventuria (€) %</t>
  </si>
  <si>
    <t>Aventuria (Backer) %</t>
  </si>
  <si>
    <t>Thorwal (€) %</t>
  </si>
  <si>
    <t>Thorwal (Backer) %</t>
  </si>
  <si>
    <t>Werkzeuge (€) %</t>
  </si>
  <si>
    <t>Werkzeuge (Backer) %</t>
  </si>
  <si>
    <t>Mythos (€) %</t>
  </si>
  <si>
    <t>Mthos (Backer) %</t>
  </si>
  <si>
    <t>MP TW (€)</t>
  </si>
  <si>
    <t>MP TW (B)</t>
  </si>
  <si>
    <t>MP AV (€)</t>
  </si>
  <si>
    <t>MP AV (B)</t>
  </si>
  <si>
    <t>DSK (€)</t>
  </si>
  <si>
    <t>DSK (Backer)</t>
  </si>
  <si>
    <t>DSK norm (€)</t>
  </si>
  <si>
    <t>DSK norm (Backer)</t>
  </si>
  <si>
    <t>MP DSK (€)</t>
  </si>
  <si>
    <t>MP DSK (B)</t>
  </si>
  <si>
    <t>Tag 2 mal X</t>
  </si>
  <si>
    <t>Min:</t>
  </si>
  <si>
    <t>Max:</t>
  </si>
  <si>
    <t>B</t>
  </si>
  <si>
    <t>€ kum.</t>
  </si>
  <si>
    <t>Backer kum</t>
  </si>
  <si>
    <t>Vorlage Tag 3</t>
  </si>
  <si>
    <t>4* Tag 2</t>
  </si>
  <si>
    <t>Anteil Ist/HR</t>
  </si>
  <si>
    <t>Anstieg Ist/HR</t>
  </si>
  <si>
    <t>Min. Schätzung</t>
  </si>
  <si>
    <t>Max. Schätzung</t>
  </si>
  <si>
    <t>Stand Ist/HR</t>
  </si>
  <si>
    <t>Anmerkungen</t>
  </si>
  <si>
    <t>Summe</t>
  </si>
  <si>
    <t>REGISTER "Vergleich" ist ausgeblendet!!!</t>
  </si>
  <si>
    <t>4.</t>
  </si>
  <si>
    <t>6.</t>
  </si>
  <si>
    <t>8.</t>
  </si>
  <si>
    <t>12.</t>
  </si>
  <si>
    <t>14.</t>
  </si>
  <si>
    <t>16.</t>
  </si>
  <si>
    <t>17.</t>
  </si>
  <si>
    <t>18.</t>
  </si>
  <si>
    <r>
      <rPr>
        <b/>
        <u/>
        <sz val="11"/>
        <color theme="1"/>
        <rFont val="Book Antiqua"/>
        <family val="1"/>
      </rPr>
      <t>Digitale/Sonstige</t>
    </r>
    <r>
      <rPr>
        <b/>
        <sz val="11"/>
        <color theme="1"/>
        <rFont val="Book Antiqua"/>
        <family val="1"/>
      </rPr>
      <t xml:space="preserve"> Produkte des Crowdfundings</t>
    </r>
    <r>
      <rPr>
        <b/>
        <sz val="11"/>
        <color rgb="FFFF0000"/>
        <rFont val="Book Antiqua"/>
        <family val="1"/>
      </rPr>
      <t/>
    </r>
  </si>
  <si>
    <t>20.</t>
  </si>
  <si>
    <t>21.</t>
  </si>
  <si>
    <t>19.</t>
  </si>
  <si>
    <t>Wunsch-
produkte</t>
  </si>
  <si>
    <t>Der AVENTURIA-"Mythen und Legenden"-Einkaufsführer</t>
  </si>
  <si>
    <t>https://www.gameontabletop.com/cf415/aventuria-mythen-und-legenden.html</t>
  </si>
  <si>
    <t>https://hinterdemauge.blogspot.com/p/aventuria-guide.html</t>
  </si>
  <si>
    <t>"Level Up"</t>
  </si>
  <si>
    <t>"Fordere dein Schicksal heraus"</t>
  </si>
  <si>
    <t>"Musik in meinen Ohren"</t>
  </si>
  <si>
    <t>Neue Abenteurer</t>
  </si>
  <si>
    <t>Einstieg in Aventuria</t>
  </si>
  <si>
    <t>Neue Geschichten</t>
  </si>
  <si>
    <t>Abenteurer und Geschichten</t>
  </si>
  <si>
    <t>Mythen und Legenden Bonus-Box                      ; enthält:</t>
  </si>
  <si>
    <r>
      <t>Wirtshaus-Bundle</t>
    </r>
    <r>
      <rPr>
        <sz val="9"/>
        <color theme="1"/>
        <rFont val="Book Antiqua"/>
        <family val="1"/>
      </rPr>
      <t xml:space="preserve"> ("Wirtshaus zum Schwarzen Keiler" &amp; "Rückkehr zum Schwarzen Keiler")</t>
    </r>
  </si>
  <si>
    <t>Schneidermeisters Poltergeister-Demoset</t>
  </si>
  <si>
    <t>Rückkehr zum Schwarzen Keiler</t>
  </si>
  <si>
    <t>Das Steinerne Schiff</t>
  </si>
  <si>
    <t>Wirtshaus zum Schwarzen Keiler</t>
  </si>
  <si>
    <t>Abenteuerspiel-Box (3. Auflage)</t>
  </si>
  <si>
    <r>
      <t>Garethischer Doppelsöldner-Heldenset</t>
    </r>
    <r>
      <rPr>
        <sz val="9"/>
        <color theme="1"/>
        <rFont val="Book Antiqua"/>
        <family val="1"/>
      </rPr>
      <t xml:space="preserve"> (55 Karten)</t>
    </r>
  </si>
  <si>
    <t>Box + Karten</t>
  </si>
  <si>
    <t>Box + Buch + Karten</t>
  </si>
  <si>
    <t>Boxen + Karten</t>
  </si>
  <si>
    <t>Matten + Karten + Acryl</t>
  </si>
  <si>
    <t>Matte + Karten</t>
  </si>
  <si>
    <r>
      <t>Deluxe-Bundle</t>
    </r>
    <r>
      <rPr>
        <sz val="9"/>
        <color theme="1"/>
        <rFont val="Book Antiqua"/>
        <family val="1"/>
      </rPr>
      <t xml:space="preserve"> (7 Helden-Spielmatten, inkl. je 5 Karten und 4 Acryl-Spielmarkensets)</t>
    </r>
  </si>
  <si>
    <r>
      <t>Spielmatte Abenteuermodus</t>
    </r>
    <r>
      <rPr>
        <sz val="9"/>
        <color theme="1"/>
        <rFont val="Book Antiqua"/>
        <family val="1"/>
      </rPr>
      <t xml:space="preserve"> (inkl. 5 Karten)</t>
    </r>
  </si>
  <si>
    <r>
      <t>Spielmarken-Set: Threat Pack</t>
    </r>
    <r>
      <rPr>
        <sz val="9"/>
        <color theme="1"/>
        <rFont val="Book Antiqua"/>
        <family val="1"/>
      </rPr>
      <t xml:space="preserve"> (25 Acrylmarker)</t>
    </r>
  </si>
  <si>
    <r>
      <t>Spielmarken-Set: Forest Pack</t>
    </r>
    <r>
      <rPr>
        <sz val="9"/>
        <color theme="1"/>
        <rFont val="Book Antiqua"/>
        <family val="1"/>
      </rPr>
      <t xml:space="preserve"> (21 Acrylmarker)</t>
    </r>
  </si>
  <si>
    <r>
      <t xml:space="preserve">Spielmarken-Set: Adventure Pack </t>
    </r>
    <r>
      <rPr>
        <sz val="9"/>
        <color theme="1"/>
        <rFont val="Book Antiqua"/>
        <family val="1"/>
      </rPr>
      <t>(26 Acrylmarker)</t>
    </r>
  </si>
  <si>
    <r>
      <t>Spielmarken-Set: Blood Pack</t>
    </r>
    <r>
      <rPr>
        <sz val="9"/>
        <color theme="1"/>
        <rFont val="Book Antiqua"/>
        <family val="1"/>
      </rPr>
      <t xml:space="preserve"> (41 Acrylmarker)</t>
    </r>
  </si>
  <si>
    <r>
      <t>Zusatzprodukt;</t>
    </r>
    <r>
      <rPr>
        <b/>
        <sz val="11"/>
        <color theme="1"/>
        <rFont val="Book Antiqua"/>
        <family val="1"/>
      </rPr>
      <t xml:space="preserve"> Rabatt!</t>
    </r>
  </si>
  <si>
    <t>Karten</t>
  </si>
  <si>
    <r>
      <t>- Heldenkarten, Talentkarten und Lebenspunkte-Karten aller 14 alternativen Helden</t>
    </r>
    <r>
      <rPr>
        <i/>
        <sz val="9"/>
        <color theme="1"/>
        <rFont val="Book Antiqua"/>
        <family val="1"/>
      </rPr>
      <t xml:space="preserve"> (fast 50 Karten)</t>
    </r>
  </si>
  <si>
    <t>Pappmarker</t>
  </si>
  <si>
    <t>mp3</t>
  </si>
  <si>
    <t>"Level Up 2"</t>
  </si>
  <si>
    <t>"Level Up 3"</t>
  </si>
  <si>
    <t>"Übung macht den Meister"</t>
  </si>
  <si>
    <t>"Es werden immer mehr!"</t>
  </si>
  <si>
    <t>"Mehr Ambiente"</t>
  </si>
  <si>
    <t>"Das Auge spielt mit"</t>
  </si>
  <si>
    <t>"Ohne Fleiß kein Preis"</t>
  </si>
  <si>
    <t>"Es war einmal…"</t>
  </si>
  <si>
    <t>"Eine Queste für die Besten"</t>
  </si>
  <si>
    <t>"I am Legend"</t>
  </si>
  <si>
    <t>"Noch mehr auf die Ohren"</t>
  </si>
  <si>
    <t>"Ist ja auch der Endboss"</t>
  </si>
  <si>
    <t>"Ein verdienter Titel"</t>
  </si>
  <si>
    <t>"Eine epische Herausforderung"</t>
  </si>
  <si>
    <t>"Wie bist du gepolt?"</t>
  </si>
  <si>
    <t>"Der Director's Cut"</t>
  </si>
  <si>
    <r>
      <t xml:space="preserve">- 4 optionale Schicksalskarten </t>
    </r>
    <r>
      <rPr>
        <i/>
        <sz val="9"/>
        <color theme="1"/>
        <rFont val="Book Antiqua"/>
        <family val="1"/>
      </rPr>
      <t>(4 Karten)</t>
    </r>
    <r>
      <rPr>
        <i/>
        <sz val="11"/>
        <color theme="1"/>
        <rFont val="Book Antiqua"/>
        <family val="1"/>
      </rPr>
      <t xml:space="preserve"> </t>
    </r>
    <r>
      <rPr>
        <b/>
        <i/>
        <sz val="11"/>
        <color theme="1"/>
        <rFont val="Book Antiqua"/>
        <family val="1"/>
      </rPr>
      <t>(2. Ziel)</t>
    </r>
  </si>
  <si>
    <r>
      <t>Heldenmarken für Helden aus "Nedime und Borbarad"-Crowdfunding</t>
    </r>
    <r>
      <rPr>
        <sz val="9"/>
        <color theme="1"/>
        <rFont val="Book Antiqua"/>
        <family val="1"/>
      </rPr>
      <t xml:space="preserve"> (4 Pappmarker)</t>
    </r>
  </si>
  <si>
    <r>
      <t xml:space="preserve">Hinter dem Auges </t>
    </r>
    <r>
      <rPr>
        <b/>
        <sz val="14"/>
        <color theme="9" tint="-0.249977111117893"/>
        <rFont val="Book Antiqua"/>
        <family val="1"/>
      </rPr>
      <t>Guide to the AVENTURIA-Galaxy</t>
    </r>
    <r>
      <rPr>
        <b/>
        <sz val="14"/>
        <color theme="1"/>
        <rFont val="Book Antiqua"/>
        <family val="1"/>
      </rPr>
      <t>:</t>
    </r>
  </si>
  <si>
    <r>
      <t xml:space="preserve">- Neue Eigenschaftskarten der Stufe 1 </t>
    </r>
    <r>
      <rPr>
        <i/>
        <sz val="9"/>
        <color theme="1"/>
        <rFont val="Book Antiqua"/>
        <family val="1"/>
      </rPr>
      <t xml:space="preserve">(X Karten) </t>
    </r>
    <r>
      <rPr>
        <b/>
        <i/>
        <sz val="11"/>
        <color theme="1"/>
        <rFont val="Book Antiqua"/>
        <family val="1"/>
      </rPr>
      <t>(4. Ziel)</t>
    </r>
  </si>
  <si>
    <r>
      <t>- Musikstück zu "Unter dem Nordlicht"</t>
    </r>
    <r>
      <rPr>
        <b/>
        <sz val="11"/>
        <color theme="1"/>
        <rFont val="Book Antiqua"/>
        <family val="1"/>
      </rPr>
      <t xml:space="preserve"> (7. Ziel)</t>
    </r>
  </si>
  <si>
    <r>
      <t>- Musikstück zu "Das Erbe von Wildenstein"</t>
    </r>
    <r>
      <rPr>
        <b/>
        <sz val="11"/>
        <color theme="1"/>
        <rFont val="Book Antiqua"/>
        <family val="1"/>
      </rPr>
      <t xml:space="preserve"> (3. Ziel)</t>
    </r>
  </si>
  <si>
    <t>Nedime (€)</t>
  </si>
  <si>
    <t>Nedime (Backer)</t>
  </si>
  <si>
    <t>Mythen (€)</t>
  </si>
  <si>
    <t>Mythen (Backer)</t>
  </si>
  <si>
    <t>Mythen norm (€)</t>
  </si>
  <si>
    <t>Mythen norm (Backer)</t>
  </si>
  <si>
    <t>Aventuria:Mythen&amp;Legenden</t>
  </si>
  <si>
    <t>€ Summe</t>
  </si>
  <si>
    <t>MP WM (€)</t>
  </si>
  <si>
    <t>MP WM (B)</t>
  </si>
  <si>
    <t>Tag 1</t>
  </si>
  <si>
    <t>Tag 2</t>
  </si>
  <si>
    <t>Min.</t>
  </si>
  <si>
    <t>Max.</t>
  </si>
  <si>
    <t>Kalkulation min.</t>
  </si>
  <si>
    <t>Kalkulation max.</t>
  </si>
  <si>
    <t>€ ges.</t>
  </si>
  <si>
    <t>Prognose</t>
  </si>
  <si>
    <t>DSK (B)</t>
  </si>
  <si>
    <t>WM (€)</t>
  </si>
  <si>
    <t>WM (B)</t>
  </si>
  <si>
    <t>AML (€)</t>
  </si>
  <si>
    <t>AML (B)</t>
  </si>
  <si>
    <t>ANB (€)</t>
  </si>
  <si>
    <t>ANB (B)</t>
  </si>
  <si>
    <t>AML (€/kum)</t>
  </si>
  <si>
    <t>AML (B/kum)</t>
  </si>
  <si>
    <t>DSK (€/kum)</t>
  </si>
  <si>
    <t>DSK (B/kum)</t>
  </si>
  <si>
    <t>WM (€/kum)</t>
  </si>
  <si>
    <t>WM (B/kum)</t>
  </si>
  <si>
    <t>ANB (€/kum)</t>
  </si>
  <si>
    <t>ANB (B/kum)</t>
  </si>
  <si>
    <t xml:space="preserve">                                                                       © 2021 by Ulisses Spiele GmbH               </t>
  </si>
  <si>
    <r>
      <rPr>
        <b/>
        <sz val="11"/>
        <color rgb="FFFF0000"/>
        <rFont val="Book Antiqua"/>
        <family val="1"/>
      </rPr>
      <t xml:space="preserve">Kein Paket </t>
    </r>
    <r>
      <rPr>
        <b/>
        <sz val="11"/>
        <rFont val="Book Antiqua"/>
        <family val="1"/>
      </rPr>
      <t>(Kauf im F-Shop, nach dem CF)</t>
    </r>
  </si>
  <si>
    <r>
      <rPr>
        <b/>
        <sz val="11"/>
        <color rgb="FFFF0000"/>
        <rFont val="Book Antiqua"/>
        <family val="1"/>
      </rPr>
      <t xml:space="preserve">Kombo: </t>
    </r>
    <r>
      <rPr>
        <b/>
        <sz val="11"/>
        <color theme="1"/>
        <rFont val="Book Antiqua"/>
        <family val="1"/>
      </rPr>
      <t>Abenteurer und Geschichten + Einstieg in Aventuria</t>
    </r>
  </si>
  <si>
    <t>Nedime</t>
  </si>
  <si>
    <t>Tag 3</t>
  </si>
  <si>
    <t>8. Ziel</t>
  </si>
  <si>
    <t>1.-3. Ziel</t>
  </si>
  <si>
    <t>4.+5. Ziel</t>
  </si>
  <si>
    <t>6.+7. Ziel</t>
  </si>
  <si>
    <r>
      <t>- Heldenmarker alle aktuellen 14 Alternate-Helden</t>
    </r>
    <r>
      <rPr>
        <b/>
        <i/>
        <sz val="11"/>
        <color theme="1"/>
        <rFont val="Book Antiqua"/>
        <family val="1"/>
      </rPr>
      <t xml:space="preserve"> (8. Ziel)</t>
    </r>
  </si>
  <si>
    <r>
      <t>- Vier alternative Helden auf den Stufen 2 und 3</t>
    </r>
    <r>
      <rPr>
        <i/>
        <sz val="9"/>
        <color theme="1"/>
        <rFont val="Book Antiqua"/>
        <family val="1"/>
      </rPr>
      <t xml:space="preserve"> (20 Karten) </t>
    </r>
    <r>
      <rPr>
        <b/>
        <i/>
        <sz val="11"/>
        <color theme="1"/>
        <rFont val="Book Antiqua"/>
        <family val="1"/>
      </rPr>
      <t>(1. Ziel)</t>
    </r>
  </si>
  <si>
    <r>
      <t>- Vier alternative Helden auf den Stufen 2 und 3</t>
    </r>
    <r>
      <rPr>
        <i/>
        <sz val="9"/>
        <color theme="1"/>
        <rFont val="Book Antiqua"/>
        <family val="1"/>
      </rPr>
      <t xml:space="preserve"> (20 Karten) </t>
    </r>
    <r>
      <rPr>
        <b/>
        <i/>
        <sz val="11"/>
        <color theme="1"/>
        <rFont val="Book Antiqua"/>
        <family val="1"/>
      </rPr>
      <t>(5. Ziel)</t>
    </r>
  </si>
  <si>
    <r>
      <t xml:space="preserve">- 5 neue Mauerschergen </t>
    </r>
    <r>
      <rPr>
        <i/>
        <sz val="9"/>
        <color theme="1"/>
        <rFont val="Book Antiqua"/>
        <family val="1"/>
      </rPr>
      <t>(5 Karten)</t>
    </r>
    <r>
      <rPr>
        <b/>
        <i/>
        <sz val="9"/>
        <color theme="1"/>
        <rFont val="Book Antiqua"/>
        <family val="1"/>
      </rPr>
      <t xml:space="preserve"> </t>
    </r>
    <r>
      <rPr>
        <b/>
        <i/>
        <sz val="11"/>
        <color theme="1"/>
        <rFont val="Book Antiqua"/>
        <family val="1"/>
      </rPr>
      <t>(6. Ziel)</t>
    </r>
  </si>
  <si>
    <t>Schnitt</t>
  </si>
  <si>
    <t>9.-10. Ziel</t>
  </si>
  <si>
    <r>
      <t xml:space="preserve">- 4 neue Ereigniskarten </t>
    </r>
    <r>
      <rPr>
        <i/>
        <sz val="9"/>
        <color theme="1"/>
        <rFont val="Book Antiqua"/>
        <family val="1"/>
      </rPr>
      <t xml:space="preserve">(4 Karten) </t>
    </r>
    <r>
      <rPr>
        <b/>
        <i/>
        <sz val="11"/>
        <color theme="1"/>
        <rFont val="Book Antiqua"/>
        <family val="1"/>
      </rPr>
      <t>(11. Ziel)</t>
    </r>
  </si>
  <si>
    <t>11. Ziel</t>
  </si>
  <si>
    <r>
      <t>- Vier alternative Helden auf den Stufen 2 und 3</t>
    </r>
    <r>
      <rPr>
        <i/>
        <sz val="9"/>
        <color theme="1"/>
        <rFont val="Book Antiqua"/>
        <family val="1"/>
      </rPr>
      <t xml:space="preserve"> (20 Karten) </t>
    </r>
    <r>
      <rPr>
        <b/>
        <i/>
        <sz val="11"/>
        <color theme="1"/>
        <rFont val="Book Antiqua"/>
        <family val="1"/>
      </rPr>
      <t>(10. Ziel)</t>
    </r>
  </si>
  <si>
    <r>
      <t xml:space="preserve">- Neue Eigenschaftskarten der Stufe 2 </t>
    </r>
    <r>
      <rPr>
        <i/>
        <sz val="9"/>
        <color theme="1"/>
        <rFont val="Book Antiqua"/>
        <family val="1"/>
      </rPr>
      <t xml:space="preserve">(X Karten) </t>
    </r>
    <r>
      <rPr>
        <b/>
        <i/>
        <sz val="11"/>
        <color theme="1"/>
        <rFont val="Book Antiqua"/>
        <family val="1"/>
      </rPr>
      <t>(9. Ziel)</t>
    </r>
  </si>
  <si>
    <t>12. Ziel</t>
  </si>
  <si>
    <r>
      <t xml:space="preserve">- 4 legendäre Ereignise und 1 legendäre Herausforderung </t>
    </r>
    <r>
      <rPr>
        <i/>
        <sz val="9"/>
        <color theme="1"/>
        <rFont val="Book Antiqua"/>
        <family val="1"/>
      </rPr>
      <t xml:space="preserve">(5 Karten) </t>
    </r>
    <r>
      <rPr>
        <b/>
        <i/>
        <sz val="11"/>
        <color theme="1"/>
        <rFont val="Book Antiqua"/>
        <family val="1"/>
      </rPr>
      <t>(12. Ziel)</t>
    </r>
  </si>
  <si>
    <t>13. Ziel</t>
  </si>
  <si>
    <r>
      <t xml:space="preserve">- Neue Eigenschaftskarten der Stufe 3 </t>
    </r>
    <r>
      <rPr>
        <i/>
        <sz val="9"/>
        <color theme="1"/>
        <rFont val="Book Antiqua"/>
        <family val="1"/>
      </rPr>
      <t xml:space="preserve">(X Karten) </t>
    </r>
    <r>
      <rPr>
        <b/>
        <i/>
        <sz val="11"/>
        <color theme="1"/>
        <rFont val="Book Antiqua"/>
        <family val="1"/>
      </rPr>
      <t>(13. Ziel)</t>
    </r>
  </si>
  <si>
    <r>
      <t>Al'anfanische Boron-Geweihte-Heldenset</t>
    </r>
    <r>
      <rPr>
        <sz val="9"/>
        <rFont val="Book Antiqua"/>
        <family val="1"/>
      </rPr>
      <t xml:space="preserve"> (55 Karten)</t>
    </r>
  </si>
  <si>
    <t>14. Ziel</t>
  </si>
  <si>
    <t>15. Ziel</t>
  </si>
  <si>
    <r>
      <t>- Musikstück zu "Der Streuner soll sterben"</t>
    </r>
    <r>
      <rPr>
        <b/>
        <sz val="11"/>
        <color theme="1"/>
        <rFont val="Book Antiqua"/>
        <family val="1"/>
      </rPr>
      <t xml:space="preserve"> (14. Ziel)</t>
    </r>
  </si>
  <si>
    <r>
      <t>- Zwei alternative Helden auf den Stufen 2 und 3</t>
    </r>
    <r>
      <rPr>
        <i/>
        <sz val="9"/>
        <color theme="1"/>
        <rFont val="Book Antiqua"/>
        <family val="1"/>
      </rPr>
      <t xml:space="preserve"> (10 Karten) </t>
    </r>
    <r>
      <rPr>
        <b/>
        <i/>
        <sz val="11"/>
        <color theme="1"/>
        <rFont val="Book Antiqua"/>
        <family val="1"/>
      </rPr>
      <t>(15. Ziel)</t>
    </r>
  </si>
  <si>
    <r>
      <t>- Neue Anführeraktionen</t>
    </r>
    <r>
      <rPr>
        <i/>
        <sz val="9"/>
        <color theme="1"/>
        <rFont val="Book Antiqua"/>
        <family val="1"/>
      </rPr>
      <t xml:space="preserve"> (X Karten) </t>
    </r>
    <r>
      <rPr>
        <b/>
        <i/>
        <sz val="11"/>
        <color theme="1"/>
        <rFont val="Book Antiqua"/>
        <family val="1"/>
      </rPr>
      <t>(16. Ziel)</t>
    </r>
  </si>
  <si>
    <t>16. Ziel</t>
  </si>
  <si>
    <r>
      <t xml:space="preserve">- 4 legendäre Ereignise und 1 legendäre Herausforderung </t>
    </r>
    <r>
      <rPr>
        <i/>
        <sz val="9"/>
        <color theme="1"/>
        <rFont val="Book Antiqua"/>
        <family val="1"/>
      </rPr>
      <t xml:space="preserve">(5 Karten) </t>
    </r>
    <r>
      <rPr>
        <b/>
        <i/>
        <sz val="11"/>
        <color theme="1"/>
        <rFont val="Book Antiqua"/>
        <family val="1"/>
      </rPr>
      <t>(18. Ziel)</t>
    </r>
  </si>
  <si>
    <t>17. Ziel</t>
  </si>
  <si>
    <t>18. Ziel</t>
  </si>
  <si>
    <r>
      <t xml:space="preserve">- 4 alternative Plus- und Minus-Karten </t>
    </r>
    <r>
      <rPr>
        <i/>
        <sz val="9"/>
        <color theme="1"/>
        <rFont val="Book Antiqua"/>
        <family val="1"/>
      </rPr>
      <t xml:space="preserve">(4 Karten) </t>
    </r>
    <r>
      <rPr>
        <b/>
        <i/>
        <sz val="11"/>
        <color theme="1"/>
        <rFont val="Book Antiqua"/>
        <family val="1"/>
      </rPr>
      <t>(19. Ziel)</t>
    </r>
  </si>
  <si>
    <t>19. Ziel</t>
  </si>
  <si>
    <t>PDF + mp3</t>
  </si>
  <si>
    <t>"Legendäre Duelle"</t>
  </si>
  <si>
    <t>20. Ziel</t>
  </si>
  <si>
    <t>21. Ziel</t>
  </si>
  <si>
    <t>22. Ziel</t>
  </si>
  <si>
    <t>22.</t>
  </si>
  <si>
    <r>
      <t>- Director's Cut von Silvanas Befreiung + Musikstück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(20. Ziel)</t>
    </r>
  </si>
  <si>
    <r>
      <t>- Regeln für den Duellmodus</t>
    </r>
    <r>
      <rPr>
        <i/>
        <sz val="9"/>
        <color theme="1"/>
        <rFont val="Book Antiqua"/>
        <family val="1"/>
      </rPr>
      <t xml:space="preserve"> </t>
    </r>
    <r>
      <rPr>
        <b/>
        <i/>
        <sz val="11"/>
        <color theme="1"/>
        <rFont val="Book Antiqua"/>
        <family val="1"/>
      </rPr>
      <t>(21. Ziel)</t>
    </r>
  </si>
  <si>
    <r>
      <t>- Musikstück zu "Der Wald ohne Wiederkehr"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(22. Ziel)</t>
    </r>
  </si>
  <si>
    <t>PDF</t>
  </si>
  <si>
    <t>23.</t>
  </si>
  <si>
    <t>Heldendokumente</t>
  </si>
  <si>
    <t>"Der Klang des Waldes"</t>
  </si>
  <si>
    <t>"Die Schrift allein verbleibet"</t>
  </si>
  <si>
    <t>Extra-Seiten im Heft</t>
  </si>
  <si>
    <r>
      <t>Pfad der Legenden-Box</t>
    </r>
    <r>
      <rPr>
        <sz val="9"/>
        <color theme="1"/>
        <rFont val="Book Antiqua"/>
        <family val="1"/>
      </rPr>
      <t xml:space="preserve"> (Kampagnenregeln, Lokalitätsbögen, ca. 600 Karten); inkl.:</t>
    </r>
  </si>
  <si>
    <t>24.</t>
  </si>
  <si>
    <r>
      <t>- Vollfarbiges Heldendokument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(23. Ziel)</t>
    </r>
  </si>
  <si>
    <r>
      <t>- Vollfarbiges Heldendokument</t>
    </r>
    <r>
      <rPr>
        <i/>
        <sz val="9"/>
        <color theme="1"/>
        <rFont val="Book Antiqua"/>
        <family val="1"/>
      </rPr>
      <t xml:space="preserve"> </t>
    </r>
    <r>
      <rPr>
        <b/>
        <i/>
        <sz val="11"/>
        <color theme="1"/>
        <rFont val="Book Antiqua"/>
        <family val="1"/>
      </rPr>
      <t>(23. Ziel)</t>
    </r>
  </si>
  <si>
    <t>23. Ziel</t>
  </si>
  <si>
    <t>"Seelenklänge"</t>
  </si>
  <si>
    <r>
      <t>Das zahlst du mehr</t>
    </r>
    <r>
      <rPr>
        <b/>
        <sz val="10.5"/>
        <color rgb="FFFF0000"/>
        <rFont val="Book Antiqua"/>
        <family val="1"/>
      </rPr>
      <t xml:space="preserve"> (rote Zahl) </t>
    </r>
    <r>
      <rPr>
        <b/>
        <sz val="10.5"/>
        <color theme="1"/>
        <rFont val="Book Antiqua"/>
        <family val="1"/>
      </rPr>
      <t>oder weniger</t>
    </r>
    <r>
      <rPr>
        <b/>
        <sz val="10.5"/>
        <color rgb="FF00B050"/>
        <rFont val="Book Antiqua"/>
        <family val="1"/>
      </rPr>
      <t xml:space="preserve"> (grüne Zahl)</t>
    </r>
    <r>
      <rPr>
        <b/>
        <sz val="10.5"/>
        <color theme="1"/>
        <rFont val="Book Antiqua"/>
        <family val="1"/>
      </rPr>
      <t>, als wenn du das Dankeschön "Einstieg in Aventuria" wählst</t>
    </r>
    <r>
      <rPr>
        <b/>
        <sz val="11"/>
        <color rgb="FF00B050"/>
        <rFont val="Book Antiqua"/>
        <family val="1"/>
      </rPr>
      <t/>
    </r>
  </si>
  <si>
    <r>
      <t>Das zahlst du mehr</t>
    </r>
    <r>
      <rPr>
        <b/>
        <sz val="10.5"/>
        <color rgb="FFFF0000"/>
        <rFont val="Book Antiqua"/>
        <family val="1"/>
      </rPr>
      <t xml:space="preserve"> (rote Zahl) </t>
    </r>
    <r>
      <rPr>
        <b/>
        <sz val="10.5"/>
        <color theme="1"/>
        <rFont val="Book Antiqua"/>
        <family val="1"/>
      </rPr>
      <t>oder weniger</t>
    </r>
    <r>
      <rPr>
        <b/>
        <sz val="10.5"/>
        <color rgb="FF00B050"/>
        <rFont val="Book Antiqua"/>
        <family val="1"/>
      </rPr>
      <t xml:space="preserve"> (grüne Zahl)</t>
    </r>
    <r>
      <rPr>
        <b/>
        <sz val="10.5"/>
        <color theme="1"/>
        <rFont val="Book Antiqua"/>
        <family val="1"/>
      </rPr>
      <t>, als wenn du das Dankeschön "Neue Geschichten" wählst</t>
    </r>
    <r>
      <rPr>
        <b/>
        <sz val="11"/>
        <color rgb="FF00B050"/>
        <rFont val="Book Antiqua"/>
        <family val="1"/>
      </rPr>
      <t/>
    </r>
  </si>
  <si>
    <r>
      <t>Das zahlst du mehr</t>
    </r>
    <r>
      <rPr>
        <b/>
        <sz val="10.5"/>
        <color rgb="FFFF0000"/>
        <rFont val="Book Antiqua"/>
        <family val="1"/>
      </rPr>
      <t xml:space="preserve"> (rote Zahl) </t>
    </r>
    <r>
      <rPr>
        <b/>
        <sz val="10.5"/>
        <color theme="1"/>
        <rFont val="Book Antiqua"/>
        <family val="1"/>
      </rPr>
      <t>oder weniger</t>
    </r>
    <r>
      <rPr>
        <b/>
        <sz val="10.5"/>
        <color rgb="FF00B050"/>
        <rFont val="Book Antiqua"/>
        <family val="1"/>
      </rPr>
      <t xml:space="preserve"> (grüne Zahl)</t>
    </r>
    <r>
      <rPr>
        <b/>
        <sz val="10.5"/>
        <color theme="1"/>
        <rFont val="Book Antiqua"/>
        <family val="1"/>
      </rPr>
      <t>, als wenn du das Dankeschön "Abenteurer und Geschichten" wählst</t>
    </r>
    <r>
      <rPr>
        <b/>
        <sz val="11"/>
        <color rgb="FF00B050"/>
        <rFont val="Book Antiqua"/>
        <family val="1"/>
      </rPr>
      <t/>
    </r>
  </si>
  <si>
    <r>
      <t>Das zahlst du mehr</t>
    </r>
    <r>
      <rPr>
        <b/>
        <sz val="9"/>
        <color rgb="FFFF0000"/>
        <rFont val="Book Antiqua"/>
        <family val="1"/>
      </rPr>
      <t xml:space="preserve"> (rote Zahl) </t>
    </r>
    <r>
      <rPr>
        <b/>
        <sz val="9"/>
        <color theme="1"/>
        <rFont val="Book Antiqua"/>
        <family val="1"/>
      </rPr>
      <t>oder weniger</t>
    </r>
    <r>
      <rPr>
        <b/>
        <sz val="9"/>
        <color rgb="FF00B050"/>
        <rFont val="Book Antiqua"/>
        <family val="1"/>
      </rPr>
      <t xml:space="preserve"> (grüne Zahl)</t>
    </r>
    <r>
      <rPr>
        <b/>
        <sz val="9"/>
        <color theme="1"/>
        <rFont val="Book Antiqua"/>
        <family val="1"/>
      </rPr>
      <t>, als wenn du die Kombo aus "Abenteurer u. Geschichten" und "Einstieg in Aventuria" wählst</t>
    </r>
    <r>
      <rPr>
        <b/>
        <sz val="11"/>
        <color rgb="FF00B050"/>
        <rFont val="Book Antiqua"/>
        <family val="1"/>
      </rPr>
      <t/>
    </r>
  </si>
  <si>
    <r>
      <t xml:space="preserve">Das kostet </t>
    </r>
    <r>
      <rPr>
        <b/>
        <i/>
        <sz val="11"/>
        <color rgb="FFFF0000"/>
        <rFont val="Book Antiqua"/>
        <family val="1"/>
      </rPr>
      <t>dein Wunschpaket</t>
    </r>
    <r>
      <rPr>
        <b/>
        <i/>
        <sz val="11"/>
        <color theme="1"/>
        <rFont val="Book Antiqua"/>
        <family val="1"/>
      </rPr>
      <t>(nach dem Crowdfunding) (voraussichtlich) im F-Shop:</t>
    </r>
  </si>
  <si>
    <r>
      <t xml:space="preserve">Die zusätzlichen Produkte, die du </t>
    </r>
    <r>
      <rPr>
        <b/>
        <i/>
        <sz val="10"/>
        <color rgb="FF0070C0"/>
        <rFont val="Book Antiqua"/>
        <family val="1"/>
      </rPr>
      <t>bei deiner Kombination</t>
    </r>
    <r>
      <rPr>
        <b/>
        <i/>
        <sz val="10"/>
        <color theme="1"/>
        <rFont val="Book Antiqua"/>
        <family val="1"/>
      </rPr>
      <t xml:space="preserve"> erhältst, die </t>
    </r>
    <r>
      <rPr>
        <b/>
        <i/>
        <sz val="10"/>
        <color rgb="FFFF0000"/>
        <rFont val="Book Antiqua"/>
        <family val="1"/>
      </rPr>
      <t>nicht Teil deines Wunschpakets</t>
    </r>
    <r>
      <rPr>
        <b/>
        <i/>
        <sz val="10"/>
        <color theme="1"/>
        <rFont val="Book Antiqua"/>
        <family val="1"/>
      </rPr>
      <t xml:space="preserve"> sind, haben folgenden Wert:</t>
    </r>
  </si>
  <si>
    <r>
      <t xml:space="preserve">Diesen Gesamtrabatt gewährt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color theme="1"/>
        <rFont val="Book Antiqua"/>
        <family val="1"/>
      </rPr>
      <t xml:space="preserve"> somit gegenüber dem Einkauf (nach dem Crowdfunding) im F-Shop insgesamt:</t>
    </r>
  </si>
  <si>
    <r>
      <t xml:space="preserve">- 6 klangvolle Heldentirel </t>
    </r>
    <r>
      <rPr>
        <i/>
        <sz val="9"/>
        <color theme="1"/>
        <rFont val="Book Antiqua"/>
        <family val="1"/>
      </rPr>
      <t xml:space="preserve">(6 Karten) </t>
    </r>
    <r>
      <rPr>
        <b/>
        <i/>
        <sz val="11"/>
        <color theme="1"/>
        <rFont val="Book Antiqua"/>
        <family val="1"/>
      </rPr>
      <t>(17. Ziel)</t>
    </r>
  </si>
  <si>
    <t>25.</t>
  </si>
  <si>
    <t>26.</t>
  </si>
  <si>
    <r>
      <t>- Erweiterung um 2 Deckboxen (insg. 6)</t>
    </r>
    <r>
      <rPr>
        <i/>
        <sz val="9"/>
        <color theme="1"/>
        <rFont val="Book Antiqua"/>
        <family val="1"/>
      </rPr>
      <t xml:space="preserve"> </t>
    </r>
    <r>
      <rPr>
        <b/>
        <i/>
        <sz val="11"/>
        <color theme="1"/>
        <rFont val="Book Antiqua"/>
        <family val="1"/>
      </rPr>
      <t>(25. Ziel)</t>
    </r>
  </si>
  <si>
    <t>Pappboxen</t>
  </si>
  <si>
    <t>"Gemeinsam legendär"</t>
  </si>
  <si>
    <t>"Der finale Satz"</t>
  </si>
  <si>
    <t>24.-27. Ziel</t>
  </si>
  <si>
    <t>"Die Rückkehr des Titanen?"</t>
  </si>
  <si>
    <t>"Aus Silber geschmiedet"</t>
  </si>
  <si>
    <r>
      <t>- 2 Musikstücke zu "Das Schiff der verlorenen Seelen"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(24. Ziel)</t>
    </r>
  </si>
  <si>
    <r>
      <t>- Twitch-Stream mit Markus als "Taunus-Titan"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(27. Ziel)</t>
    </r>
  </si>
  <si>
    <r>
      <t>- 2 Musikstücke zu "Kampf um Ilsur" und "Drachenaugen"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(26. Ziel)</t>
    </r>
  </si>
  <si>
    <t>27.</t>
  </si>
  <si>
    <t>28.</t>
  </si>
  <si>
    <t>CD</t>
  </si>
  <si>
    <t>29.</t>
  </si>
  <si>
    <t>20:10</t>
  </si>
  <si>
    <t>"Ein tief vergrabener Schatz"</t>
  </si>
  <si>
    <t>"Bringt mir seinen Kopf"</t>
  </si>
  <si>
    <t>"Dem Wahn entsprungen"</t>
  </si>
  <si>
    <t>"Leute, die wirklich nicht spielen"</t>
  </si>
  <si>
    <r>
      <t>- Director's Cut von Rietholtz' Schatz + Musikstück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(29. Ziel)</t>
    </r>
  </si>
  <si>
    <r>
      <t>- Director's Cut von Kopfgeld + Musikstück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(30. Ziel)</t>
    </r>
  </si>
  <si>
    <r>
      <t>- Director's Cut von Selemer Wahn + Musikstück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(31. Ziel)</t>
    </r>
  </si>
  <si>
    <r>
      <t>- Director's Cut von Leute, die nicht spielen + Musikstück</t>
    </r>
    <r>
      <rPr>
        <sz val="9"/>
        <color theme="1"/>
        <rFont val="Book Antiqua"/>
        <family val="1"/>
      </rPr>
      <t xml:space="preserve"> </t>
    </r>
    <r>
      <rPr>
        <b/>
        <sz val="11"/>
        <color theme="1"/>
        <rFont val="Book Antiqua"/>
        <family val="1"/>
      </rPr>
      <t>(32. Ziel)</t>
    </r>
  </si>
  <si>
    <t>20:00</t>
  </si>
  <si>
    <r>
      <t>Mythische Geschichten-Box</t>
    </r>
    <r>
      <rPr>
        <sz val="9"/>
        <color theme="1"/>
        <rFont val="Book Antiqua"/>
        <family val="1"/>
      </rPr>
      <t xml:space="preserve"> (Geschichtenregeln, ca. 180 Seiten-Abenteuerbuch, Karten), inkl.:</t>
    </r>
  </si>
  <si>
    <r>
      <t>- Soundtrack-CD</t>
    </r>
    <r>
      <rPr>
        <i/>
        <sz val="9"/>
        <color theme="1"/>
        <rFont val="Book Antiqua"/>
        <family val="1"/>
      </rPr>
      <t xml:space="preserve"> </t>
    </r>
    <r>
      <rPr>
        <b/>
        <i/>
        <sz val="11"/>
        <color theme="1"/>
        <rFont val="Book Antiqua"/>
        <family val="1"/>
      </rPr>
      <t>(28. Ziel)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</si>
</sst>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\ &quot;€&quot;"/>
    <numFmt numFmtId="165" formatCode="#,##0.00\ &quot;€&quot;"/>
    <numFmt numFmtId="166" formatCode="[$$-1009]#,##0"/>
    <numFmt numFmtId="167" formatCode="[$$-409]#,##0"/>
    <numFmt numFmtId="168" formatCode="[$£-809]#,##0"/>
    <numFmt numFmtId="169" formatCode="0.0%"/>
    <numFmt numFmtId="170" formatCode="dddd"/>
    <numFmt numFmtId="171" formatCode="h:mm;@"/>
    <numFmt numFmtId="172" formatCode="[h]:mm"/>
    <numFmt numFmtId="173" formatCode="0&quot;. Tag&quot;"/>
    <numFmt numFmtId="174" formatCode="dd/mm/yy"/>
    <numFmt numFmtId="175" formatCode="dd/mm/yy\,\ hh:mm"/>
    <numFmt numFmtId="176" formatCode="&quot;max.&quot;\ #,##0"/>
  </numFmts>
  <fonts count="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Wingdings"/>
      <charset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6"/>
      <name val="Wingdings"/>
      <charset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  <font>
      <b/>
      <sz val="16"/>
      <color theme="1"/>
      <name val="Book Antiqua"/>
      <family val="1"/>
    </font>
    <font>
      <b/>
      <i/>
      <sz val="10"/>
      <color rgb="FFFF0000"/>
      <name val="Book Antiqua"/>
      <family val="1"/>
    </font>
    <font>
      <b/>
      <sz val="11"/>
      <name val="Book Antiqua"/>
      <family val="1"/>
    </font>
    <font>
      <b/>
      <sz val="11"/>
      <color theme="1"/>
      <name val="Book Antiqua"/>
      <family val="1"/>
    </font>
    <font>
      <b/>
      <i/>
      <sz val="11"/>
      <color rgb="FFFF0000"/>
      <name val="Book Antiqua"/>
      <family val="1"/>
    </font>
    <font>
      <strike/>
      <sz val="11"/>
      <color theme="1"/>
      <name val="Book Antiqua"/>
      <family val="1"/>
    </font>
    <font>
      <sz val="11"/>
      <color rgb="FFFF0000"/>
      <name val="Book Antiqua"/>
      <family val="1"/>
    </font>
    <font>
      <sz val="16"/>
      <color theme="1"/>
      <name val="Book Antiqua"/>
      <family val="1"/>
    </font>
    <font>
      <sz val="11"/>
      <name val="Book Antiqua"/>
      <family val="1"/>
    </font>
    <font>
      <sz val="16"/>
      <name val="Book Antiqua"/>
      <family val="1"/>
    </font>
    <font>
      <i/>
      <sz val="11"/>
      <color theme="1"/>
      <name val="Book Antiqua"/>
      <family val="1"/>
    </font>
    <font>
      <i/>
      <sz val="10"/>
      <color theme="1"/>
      <name val="Book Antiqua"/>
      <family val="1"/>
    </font>
    <font>
      <b/>
      <i/>
      <sz val="11"/>
      <name val="Book Antiqua"/>
      <family val="1"/>
    </font>
    <font>
      <b/>
      <sz val="11"/>
      <color rgb="FF0070C0"/>
      <name val="Book Antiqua"/>
      <family val="1"/>
    </font>
    <font>
      <b/>
      <sz val="16"/>
      <color rgb="FFFF0000"/>
      <name val="Book Antiqua"/>
      <family val="1"/>
    </font>
    <font>
      <b/>
      <sz val="11"/>
      <color rgb="FF00B050"/>
      <name val="Book Antiqua"/>
      <family val="1"/>
    </font>
    <font>
      <b/>
      <i/>
      <sz val="11"/>
      <color theme="1"/>
      <name val="Book Antiqua"/>
      <family val="1"/>
    </font>
    <font>
      <b/>
      <i/>
      <sz val="10"/>
      <name val="Book Antiqua"/>
      <family val="1"/>
    </font>
    <font>
      <b/>
      <i/>
      <sz val="10"/>
      <color theme="1"/>
      <name val="Book Antiqua"/>
      <family val="1"/>
    </font>
    <font>
      <b/>
      <i/>
      <sz val="10"/>
      <color rgb="FF0070C0"/>
      <name val="Book Antiqua"/>
      <family val="1"/>
    </font>
    <font>
      <sz val="10"/>
      <color rgb="FFFF0000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Book Antiqua"/>
      <family val="1"/>
    </font>
    <font>
      <b/>
      <u/>
      <sz val="14"/>
      <color theme="10"/>
      <name val="Book Antiqua"/>
      <family val="1"/>
    </font>
    <font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12"/>
      <color theme="1"/>
      <name val="Book Antiqua"/>
      <family val="1"/>
    </font>
    <font>
      <b/>
      <sz val="12"/>
      <color rgb="FFC00000"/>
      <name val="Book Antiqua"/>
      <family val="1"/>
    </font>
    <font>
      <i/>
      <sz val="11"/>
      <color rgb="FFFF0000"/>
      <name val="Calibri"/>
      <family val="2"/>
      <scheme val="minor"/>
    </font>
    <font>
      <b/>
      <u/>
      <sz val="11"/>
      <color theme="1"/>
      <name val="Book Antiqua"/>
      <family val="1"/>
    </font>
    <font>
      <sz val="9"/>
      <color theme="1"/>
      <name val="Book Antiqua"/>
      <family val="1"/>
    </font>
    <font>
      <strike/>
      <sz val="11"/>
      <color rgb="FFFF0000"/>
      <name val="Book Antiqua"/>
      <family val="1"/>
    </font>
    <font>
      <b/>
      <sz val="12"/>
      <name val="Book Antiqua"/>
      <family val="1"/>
    </font>
    <font>
      <sz val="11"/>
      <color rgb="FF00B050"/>
      <name val="Book Antiqua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i/>
      <sz val="11"/>
      <color rgb="FF00B050"/>
      <name val="Book Antiqua"/>
      <family val="1"/>
    </font>
    <font>
      <i/>
      <strike/>
      <sz val="11"/>
      <color theme="1"/>
      <name val="Book Antiqua"/>
      <family val="1"/>
    </font>
    <font>
      <i/>
      <sz val="11"/>
      <color rgb="FFFF0000"/>
      <name val="Book Antiqua"/>
      <family val="1"/>
    </font>
    <font>
      <i/>
      <sz val="11"/>
      <name val="Calibri"/>
      <family val="2"/>
      <scheme val="minor"/>
    </font>
    <font>
      <i/>
      <sz val="11"/>
      <color rgb="FF00B050"/>
      <name val="Book Antiqua"/>
      <family val="1"/>
    </font>
    <font>
      <b/>
      <sz val="10"/>
      <name val="Book Antiqua"/>
      <family val="1"/>
    </font>
    <font>
      <i/>
      <sz val="16"/>
      <color theme="1"/>
      <name val="Book Antiqua"/>
      <family val="1"/>
    </font>
    <font>
      <i/>
      <strike/>
      <sz val="11"/>
      <color rgb="FFFF0000"/>
      <name val="Book Antiqua"/>
      <family val="1"/>
    </font>
    <font>
      <i/>
      <sz val="9"/>
      <color theme="1"/>
      <name val="Book Antiqua"/>
      <family val="1"/>
    </font>
    <font>
      <b/>
      <sz val="12"/>
      <color rgb="FFFF0000"/>
      <name val="Book Antiqua"/>
      <family val="1"/>
    </font>
    <font>
      <b/>
      <i/>
      <sz val="12"/>
      <color rgb="FFFF0000"/>
      <name val="Calibri"/>
      <family val="2"/>
      <scheme val="minor"/>
    </font>
    <font>
      <strike/>
      <sz val="11"/>
      <color rgb="FF00B050"/>
      <name val="Book Antiqua"/>
      <family val="1"/>
    </font>
    <font>
      <i/>
      <strike/>
      <sz val="11"/>
      <color rgb="FF00B050"/>
      <name val="Book Antiqua"/>
      <family val="1"/>
    </font>
    <font>
      <i/>
      <sz val="16"/>
      <color theme="1"/>
      <name val="Calibri Light"/>
      <family val="2"/>
    </font>
    <font>
      <sz val="9"/>
      <name val="Book Antiqua"/>
      <family val="1"/>
    </font>
    <font>
      <sz val="12"/>
      <color theme="1"/>
      <name val="Book Antiqua"/>
      <family val="1"/>
    </font>
    <font>
      <b/>
      <i/>
      <sz val="12"/>
      <name val="Book Antiqua"/>
      <family val="1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Book Antiqua"/>
      <family val="1"/>
    </font>
    <font>
      <b/>
      <i/>
      <sz val="12"/>
      <color rgb="FF00B050"/>
      <name val="Book Antiqua"/>
      <family val="1"/>
    </font>
    <font>
      <strike/>
      <sz val="12"/>
      <color rgb="FFFF0000"/>
      <name val="Book Antiqua"/>
      <family val="1"/>
    </font>
    <font>
      <b/>
      <u/>
      <sz val="13"/>
      <color theme="10"/>
      <name val="Book Antiqua"/>
      <family val="1"/>
    </font>
    <font>
      <b/>
      <sz val="28"/>
      <color rgb="FFFF0000"/>
      <name val="Book Antiqua"/>
      <family val="1"/>
    </font>
    <font>
      <b/>
      <sz val="13"/>
      <color theme="1"/>
      <name val="Book Antiqua"/>
      <family val="1"/>
    </font>
    <font>
      <b/>
      <sz val="10.5"/>
      <color theme="1"/>
      <name val="Book Antiqua"/>
      <family val="1"/>
    </font>
    <font>
      <b/>
      <sz val="10.5"/>
      <color rgb="FFFF0000"/>
      <name val="Book Antiqua"/>
      <family val="1"/>
    </font>
    <font>
      <b/>
      <sz val="10.5"/>
      <color rgb="FF00B050"/>
      <name val="Book Antiqua"/>
      <family val="1"/>
    </font>
    <font>
      <b/>
      <sz val="14"/>
      <color theme="9" tint="-0.249977111117893"/>
      <name val="Book Antiqua"/>
      <family val="1"/>
    </font>
    <font>
      <b/>
      <sz val="9"/>
      <color rgb="FF00B050"/>
      <name val="Book Antiqua"/>
      <family val="1"/>
    </font>
    <font>
      <b/>
      <sz val="9"/>
      <color theme="1"/>
      <name val="Book Antiqua"/>
      <family val="1"/>
    </font>
    <font>
      <b/>
      <sz val="9"/>
      <color rgb="FFFF0000"/>
      <name val="Book Antiqua"/>
      <family val="1"/>
    </font>
    <font>
      <b/>
      <u/>
      <sz val="11"/>
      <color theme="10"/>
      <name val="Book Antiqua"/>
      <family val="1"/>
    </font>
    <font>
      <b/>
      <i/>
      <sz val="9"/>
      <color theme="1"/>
      <name val="Book Antiqua"/>
      <family val="1"/>
    </font>
    <font>
      <b/>
      <sz val="10"/>
      <color rgb="FF00B050"/>
      <name val="Book Antiqua"/>
      <family val="1"/>
    </font>
    <font>
      <i/>
      <sz val="16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 style="medium">
        <color rgb="FFFF0000"/>
      </diagonal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auto="1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indexed="64"/>
      </right>
      <top style="thin">
        <color theme="1"/>
      </top>
      <bottom style="thin">
        <color auto="1"/>
      </bottom>
      <diagonal/>
    </border>
    <border>
      <left style="medium">
        <color rgb="FFFF0000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489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7" xfId="0" quotePrefix="1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/>
    <xf numFmtId="0" fontId="18" fillId="3" borderId="0" xfId="0" applyFont="1" applyFill="1"/>
    <xf numFmtId="0" fontId="10" fillId="4" borderId="0" xfId="0" applyFont="1" applyFill="1"/>
    <xf numFmtId="0" fontId="18" fillId="6" borderId="8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4" fillId="3" borderId="0" xfId="0" applyFont="1" applyFill="1"/>
    <xf numFmtId="0" fontId="29" fillId="3" borderId="0" xfId="0" applyFont="1" applyFill="1"/>
    <xf numFmtId="0" fontId="36" fillId="3" borderId="0" xfId="0" applyFont="1" applyFill="1"/>
    <xf numFmtId="3" fontId="10" fillId="3" borderId="0" xfId="0" applyNumberFormat="1" applyFont="1" applyFill="1" applyAlignment="1">
      <alignment horizontal="center"/>
    </xf>
    <xf numFmtId="165" fontId="18" fillId="6" borderId="7" xfId="0" applyNumberFormat="1" applyFont="1" applyFill="1" applyBorder="1" applyAlignment="1">
      <alignment horizontal="right" vertical="center"/>
    </xf>
    <xf numFmtId="165" fontId="11" fillId="6" borderId="7" xfId="0" applyNumberFormat="1" applyFont="1" applyFill="1" applyBorder="1" applyAlignment="1">
      <alignment horizontal="right" vertical="center"/>
    </xf>
    <xf numFmtId="165" fontId="10" fillId="6" borderId="7" xfId="0" quotePrefix="1" applyNumberFormat="1" applyFont="1" applyFill="1" applyBorder="1" applyAlignment="1">
      <alignment horizontal="right" vertical="center"/>
    </xf>
    <xf numFmtId="165" fontId="10" fillId="6" borderId="7" xfId="0" applyNumberFormat="1" applyFont="1" applyFill="1" applyBorder="1" applyAlignment="1">
      <alignment horizontal="right" vertical="center"/>
    </xf>
    <xf numFmtId="0" fontId="20" fillId="3" borderId="0" xfId="0" applyFont="1" applyFill="1"/>
    <xf numFmtId="0" fontId="50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/>
    </xf>
    <xf numFmtId="3" fontId="14" fillId="3" borderId="0" xfId="0" applyNumberFormat="1" applyFont="1" applyFill="1" applyAlignment="1">
      <alignment horizontal="center"/>
    </xf>
    <xf numFmtId="0" fontId="22" fillId="3" borderId="0" xfId="0" applyFont="1" applyFill="1"/>
    <xf numFmtId="4" fontId="10" fillId="3" borderId="0" xfId="0" applyNumberFormat="1" applyFont="1" applyFill="1"/>
    <xf numFmtId="3" fontId="1" fillId="0" borderId="0" xfId="0" applyNumberFormat="1" applyFont="1"/>
    <xf numFmtId="3" fontId="8" fillId="0" borderId="0" xfId="0" applyNumberFormat="1" applyFont="1"/>
    <xf numFmtId="2" fontId="1" fillId="0" borderId="0" xfId="0" applyNumberFormat="1" applyFont="1"/>
    <xf numFmtId="0" fontId="8" fillId="0" borderId="0" xfId="0" applyFont="1"/>
    <xf numFmtId="3" fontId="0" fillId="0" borderId="0" xfId="0" applyNumberFormat="1"/>
    <xf numFmtId="2" fontId="8" fillId="0" borderId="0" xfId="0" applyNumberFormat="1" applyFont="1"/>
    <xf numFmtId="169" fontId="0" fillId="0" borderId="0" xfId="0" applyNumberFormat="1"/>
    <xf numFmtId="3" fontId="1" fillId="7" borderId="0" xfId="0" applyNumberFormat="1" applyFont="1" applyFill="1"/>
    <xf numFmtId="3" fontId="8" fillId="7" borderId="0" xfId="0" applyNumberFormat="1" applyFont="1" applyFill="1"/>
    <xf numFmtId="3" fontId="52" fillId="0" borderId="0" xfId="0" applyNumberFormat="1" applyFont="1"/>
    <xf numFmtId="3" fontId="3" fillId="0" borderId="0" xfId="0" applyNumberFormat="1" applyFont="1"/>
    <xf numFmtId="169" fontId="5" fillId="0" borderId="0" xfId="0" applyNumberFormat="1" applyFont="1"/>
    <xf numFmtId="169" fontId="48" fillId="0" borderId="0" xfId="0" applyNumberFormat="1" applyFont="1"/>
    <xf numFmtId="0" fontId="5" fillId="0" borderId="0" xfId="0" applyFont="1"/>
    <xf numFmtId="3" fontId="52" fillId="7" borderId="0" xfId="0" applyNumberFormat="1" applyFont="1" applyFill="1"/>
    <xf numFmtId="3" fontId="3" fillId="7" borderId="0" xfId="0" applyNumberFormat="1" applyFont="1" applyFill="1"/>
    <xf numFmtId="2" fontId="3" fillId="0" borderId="0" xfId="0" applyNumberFormat="1" applyFont="1"/>
    <xf numFmtId="2" fontId="52" fillId="0" borderId="0" xfId="0" applyNumberFormat="1" applyFont="1"/>
    <xf numFmtId="0" fontId="1" fillId="0" borderId="0" xfId="0" applyFont="1"/>
    <xf numFmtId="0" fontId="52" fillId="0" borderId="0" xfId="0" applyFont="1"/>
    <xf numFmtId="2" fontId="5" fillId="0" borderId="0" xfId="0" applyNumberFormat="1" applyFont="1"/>
    <xf numFmtId="2" fontId="0" fillId="0" borderId="0" xfId="0" applyNumberFormat="1"/>
    <xf numFmtId="2" fontId="1" fillId="0" borderId="42" xfId="0" applyNumberFormat="1" applyFont="1" applyBorder="1"/>
    <xf numFmtId="0" fontId="8" fillId="0" borderId="43" xfId="0" applyFont="1" applyBorder="1"/>
    <xf numFmtId="2" fontId="1" fillId="0" borderId="44" xfId="0" applyNumberFormat="1" applyFont="1" applyBorder="1"/>
    <xf numFmtId="2" fontId="8" fillId="0" borderId="45" xfId="0" applyNumberFormat="1" applyFont="1" applyBorder="1"/>
    <xf numFmtId="2" fontId="1" fillId="0" borderId="46" xfId="0" applyNumberFormat="1" applyFont="1" applyBorder="1"/>
    <xf numFmtId="2" fontId="8" fillId="0" borderId="47" xfId="0" applyNumberFormat="1" applyFont="1" applyBorder="1"/>
    <xf numFmtId="0" fontId="8" fillId="0" borderId="48" xfId="0" applyFont="1" applyBorder="1"/>
    <xf numFmtId="2" fontId="1" fillId="0" borderId="48" xfId="0" applyNumberFormat="1" applyFont="1" applyBorder="1"/>
    <xf numFmtId="2" fontId="8" fillId="0" borderId="0" xfId="0" applyNumberFormat="1" applyFont="1" applyBorder="1"/>
    <xf numFmtId="2" fontId="1" fillId="0" borderId="0" xfId="0" applyNumberFormat="1" applyFont="1" applyBorder="1"/>
    <xf numFmtId="2" fontId="8" fillId="0" borderId="49" xfId="0" applyNumberFormat="1" applyFont="1" applyBorder="1"/>
    <xf numFmtId="2" fontId="1" fillId="0" borderId="49" xfId="0" applyNumberFormat="1" applyFont="1" applyBorder="1"/>
    <xf numFmtId="4" fontId="1" fillId="0" borderId="0" xfId="0" applyNumberFormat="1" applyFont="1"/>
    <xf numFmtId="0" fontId="0" fillId="0" borderId="0" xfId="0" applyFont="1"/>
    <xf numFmtId="4" fontId="0" fillId="0" borderId="0" xfId="0" applyNumberFormat="1" applyFont="1"/>
    <xf numFmtId="1" fontId="1" fillId="0" borderId="0" xfId="0" applyNumberFormat="1" applyFont="1"/>
    <xf numFmtId="0" fontId="10" fillId="6" borderId="13" xfId="0" applyFont="1" applyFill="1" applyBorder="1" applyAlignment="1">
      <alignment horizontal="left" vertical="center"/>
    </xf>
    <xf numFmtId="0" fontId="19" fillId="6" borderId="28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165" fontId="18" fillId="6" borderId="14" xfId="0" applyNumberFormat="1" applyFont="1" applyFill="1" applyBorder="1" applyAlignment="1">
      <alignment horizontal="right" vertical="center"/>
    </xf>
    <xf numFmtId="165" fontId="10" fillId="6" borderId="14" xfId="0" quotePrefix="1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22" fillId="0" borderId="4" xfId="0" quotePrefix="1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55" fillId="0" borderId="4" xfId="0" applyFont="1" applyBorder="1" applyAlignment="1">
      <alignment horizontal="center" vertical="center"/>
    </xf>
    <xf numFmtId="164" fontId="28" fillId="3" borderId="0" xfId="0" applyNumberFormat="1" applyFont="1" applyFill="1" applyAlignment="1">
      <alignment horizontal="right" vertical="center"/>
    </xf>
    <xf numFmtId="0" fontId="28" fillId="3" borderId="0" xfId="0" applyFont="1" applyFill="1" applyAlignment="1">
      <alignment horizontal="right" vertical="center"/>
    </xf>
    <xf numFmtId="0" fontId="50" fillId="0" borderId="0" xfId="0" applyFont="1" applyAlignment="1">
      <alignment vertical="center"/>
    </xf>
    <xf numFmtId="0" fontId="22" fillId="0" borderId="0" xfId="0" applyFont="1"/>
    <xf numFmtId="165" fontId="10" fillId="0" borderId="7" xfId="0" applyNumberFormat="1" applyFont="1" applyBorder="1" applyAlignment="1">
      <alignment horizontal="left" vertical="center"/>
    </xf>
    <xf numFmtId="165" fontId="22" fillId="0" borderId="7" xfId="0" applyNumberFormat="1" applyFont="1" applyBorder="1" applyAlignment="1">
      <alignment horizontal="left" vertical="center"/>
    </xf>
    <xf numFmtId="165" fontId="22" fillId="0" borderId="7" xfId="0" quotePrefix="1" applyNumberFormat="1" applyFont="1" applyBorder="1" applyAlignment="1">
      <alignment horizontal="left" vertical="center"/>
    </xf>
    <xf numFmtId="165" fontId="10" fillId="6" borderId="7" xfId="0" quotePrefix="1" applyNumberFormat="1" applyFont="1" applyFill="1" applyBorder="1" applyAlignment="1">
      <alignment horizontal="left" vertical="center"/>
    </xf>
    <xf numFmtId="165" fontId="10" fillId="6" borderId="7" xfId="0" applyNumberFormat="1" applyFont="1" applyFill="1" applyBorder="1" applyAlignment="1">
      <alignment horizontal="left" vertical="center"/>
    </xf>
    <xf numFmtId="165" fontId="10" fillId="6" borderId="14" xfId="0" quotePrefix="1" applyNumberFormat="1" applyFont="1" applyFill="1" applyBorder="1" applyAlignment="1">
      <alignment horizontal="left" vertical="center"/>
    </xf>
    <xf numFmtId="164" fontId="15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center"/>
    </xf>
    <xf numFmtId="0" fontId="62" fillId="0" borderId="4" xfId="0" applyFont="1" applyBorder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64" fillId="3" borderId="0" xfId="0" applyFont="1" applyFill="1"/>
    <xf numFmtId="0" fontId="45" fillId="3" borderId="0" xfId="0" applyFont="1" applyFill="1"/>
    <xf numFmtId="4" fontId="44" fillId="3" borderId="0" xfId="0" applyNumberFormat="1" applyFont="1" applyFill="1" applyAlignment="1">
      <alignment horizontal="center" vertical="center" wrapText="1"/>
    </xf>
    <xf numFmtId="4" fontId="44" fillId="3" borderId="0" xfId="0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right"/>
    </xf>
    <xf numFmtId="165" fontId="10" fillId="3" borderId="0" xfId="0" applyNumberFormat="1" applyFont="1" applyFill="1" applyAlignment="1">
      <alignment horizontal="right"/>
    </xf>
    <xf numFmtId="4" fontId="58" fillId="3" borderId="0" xfId="0" quotePrefix="1" applyNumberFormat="1" applyFont="1" applyFill="1" applyAlignment="1">
      <alignment horizontal="center" vertical="center" wrapText="1"/>
    </xf>
    <xf numFmtId="0" fontId="64" fillId="3" borderId="0" xfId="0" applyFont="1" applyFill="1" applyAlignment="1">
      <alignment horizontal="center"/>
    </xf>
    <xf numFmtId="165" fontId="64" fillId="3" borderId="0" xfId="0" applyNumberFormat="1" applyFont="1" applyFill="1" applyAlignment="1">
      <alignment horizontal="right"/>
    </xf>
    <xf numFmtId="165" fontId="58" fillId="3" borderId="39" xfId="0" applyNumberFormat="1" applyFont="1" applyFill="1" applyBorder="1" applyAlignment="1">
      <alignment horizontal="center" vertical="center" wrapText="1"/>
    </xf>
    <xf numFmtId="165" fontId="58" fillId="3" borderId="4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wrapText="1"/>
    </xf>
    <xf numFmtId="4" fontId="11" fillId="3" borderId="0" xfId="0" applyNumberFormat="1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3" fontId="18" fillId="3" borderId="0" xfId="0" applyNumberFormat="1" applyFont="1" applyFill="1" applyAlignment="1">
      <alignment horizontal="center"/>
    </xf>
    <xf numFmtId="14" fontId="45" fillId="3" borderId="0" xfId="0" applyNumberFormat="1" applyFont="1" applyFill="1" applyAlignment="1">
      <alignment horizontal="center"/>
    </xf>
    <xf numFmtId="0" fontId="24" fillId="8" borderId="5" xfId="0" applyFont="1" applyFill="1" applyBorder="1" applyAlignment="1">
      <alignment horizontal="right" vertical="center"/>
    </xf>
    <xf numFmtId="0" fontId="14" fillId="8" borderId="5" xfId="0" applyFont="1" applyFill="1" applyBorder="1" applyAlignment="1">
      <alignment horizontal="right" vertical="center"/>
    </xf>
    <xf numFmtId="0" fontId="14" fillId="8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164" fontId="15" fillId="8" borderId="4" xfId="0" applyNumberFormat="1" applyFont="1" applyFill="1" applyBorder="1" applyAlignment="1">
      <alignment horizontal="center" vertical="center"/>
    </xf>
    <xf numFmtId="164" fontId="15" fillId="8" borderId="5" xfId="0" applyNumberFormat="1" applyFont="1" applyFill="1" applyBorder="1" applyAlignment="1">
      <alignment horizontal="center" vertical="center"/>
    </xf>
    <xf numFmtId="164" fontId="15" fillId="8" borderId="6" xfId="0" applyNumberFormat="1" applyFont="1" applyFill="1" applyBorder="1" applyAlignment="1">
      <alignment horizontal="center" vertical="center"/>
    </xf>
    <xf numFmtId="165" fontId="15" fillId="8" borderId="7" xfId="0" applyNumberFormat="1" applyFont="1" applyFill="1" applyBorder="1" applyAlignment="1">
      <alignment horizontal="center" vertical="center" wrapText="1"/>
    </xf>
    <xf numFmtId="3" fontId="26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5" fontId="15" fillId="3" borderId="0" xfId="0" applyNumberFormat="1" applyFont="1" applyFill="1" applyAlignment="1">
      <alignment horizontal="right" vertical="center"/>
    </xf>
    <xf numFmtId="165" fontId="22" fillId="3" borderId="0" xfId="0" applyNumberFormat="1" applyFont="1" applyFill="1" applyAlignment="1">
      <alignment horizontal="right"/>
    </xf>
    <xf numFmtId="165" fontId="23" fillId="3" borderId="0" xfId="0" applyNumberFormat="1" applyFont="1" applyFill="1" applyAlignment="1">
      <alignment horizontal="right"/>
    </xf>
    <xf numFmtId="3" fontId="32" fillId="3" borderId="0" xfId="0" applyNumberFormat="1" applyFont="1" applyFill="1" applyAlignment="1">
      <alignment horizontal="left"/>
    </xf>
    <xf numFmtId="0" fontId="36" fillId="3" borderId="0" xfId="0" applyFont="1" applyFill="1" applyAlignment="1">
      <alignment horizontal="center"/>
    </xf>
    <xf numFmtId="165" fontId="36" fillId="3" borderId="0" xfId="0" applyNumberFormat="1" applyFont="1" applyFill="1" applyAlignment="1">
      <alignment horizontal="right"/>
    </xf>
    <xf numFmtId="167" fontId="10" fillId="3" borderId="0" xfId="0" applyNumberFormat="1" applyFont="1" applyFill="1"/>
    <xf numFmtId="168" fontId="10" fillId="3" borderId="0" xfId="0" applyNumberFormat="1" applyFont="1" applyFill="1"/>
    <xf numFmtId="3" fontId="14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left"/>
    </xf>
    <xf numFmtId="166" fontId="14" fillId="3" borderId="0" xfId="0" applyNumberFormat="1" applyFont="1" applyFill="1" applyAlignment="1">
      <alignment horizontal="center"/>
    </xf>
    <xf numFmtId="167" fontId="24" fillId="3" borderId="0" xfId="0" applyNumberFormat="1" applyFont="1" applyFill="1" applyAlignment="1">
      <alignment horizontal="center"/>
    </xf>
    <xf numFmtId="169" fontId="45" fillId="3" borderId="0" xfId="0" applyNumberFormat="1" applyFont="1" applyFill="1" applyAlignment="1">
      <alignment horizontal="center"/>
    </xf>
    <xf numFmtId="169" fontId="53" fillId="3" borderId="0" xfId="0" applyNumberFormat="1" applyFont="1" applyFill="1" applyAlignment="1">
      <alignment horizontal="center"/>
    </xf>
    <xf numFmtId="164" fontId="27" fillId="3" borderId="0" xfId="0" applyNumberFormat="1" applyFont="1" applyFill="1" applyAlignment="1">
      <alignment horizontal="right"/>
    </xf>
    <xf numFmtId="164" fontId="45" fillId="3" borderId="0" xfId="0" applyNumberFormat="1" applyFont="1" applyFill="1" applyAlignment="1">
      <alignment horizontal="right"/>
    </xf>
    <xf numFmtId="3" fontId="18" fillId="3" borderId="1" xfId="0" applyNumberFormat="1" applyFont="1" applyFill="1" applyBorder="1" applyAlignment="1">
      <alignment horizontal="center"/>
    </xf>
    <xf numFmtId="3" fontId="14" fillId="8" borderId="26" xfId="0" applyNumberFormat="1" applyFont="1" applyFill="1" applyBorder="1" applyAlignment="1">
      <alignment horizontal="center" vertical="center"/>
    </xf>
    <xf numFmtId="164" fontId="15" fillId="8" borderId="33" xfId="0" applyNumberFormat="1" applyFont="1" applyFill="1" applyBorder="1" applyAlignment="1">
      <alignment vertical="center"/>
    </xf>
    <xf numFmtId="164" fontId="15" fillId="8" borderId="34" xfId="0" applyNumberFormat="1" applyFont="1" applyFill="1" applyBorder="1" applyAlignment="1">
      <alignment horizontal="center" vertical="center"/>
    </xf>
    <xf numFmtId="164" fontId="15" fillId="8" borderId="33" xfId="0" applyNumberFormat="1" applyFont="1" applyFill="1" applyBorder="1" applyAlignment="1">
      <alignment horizontal="center" vertical="center"/>
    </xf>
    <xf numFmtId="165" fontId="15" fillId="8" borderId="1" xfId="0" applyNumberFormat="1" applyFont="1" applyFill="1" applyBorder="1" applyAlignment="1">
      <alignment horizontal="right" vertical="center"/>
    </xf>
    <xf numFmtId="165" fontId="15" fillId="8" borderId="1" xfId="0" applyNumberFormat="1" applyFont="1" applyFill="1" applyBorder="1" applyAlignment="1">
      <alignment horizontal="left" vertical="center"/>
    </xf>
    <xf numFmtId="164" fontId="15" fillId="8" borderId="16" xfId="0" applyNumberFormat="1" applyFont="1" applyFill="1" applyBorder="1" applyAlignment="1">
      <alignment horizontal="left" vertical="center"/>
    </xf>
    <xf numFmtId="164" fontId="18" fillId="8" borderId="17" xfId="0" applyNumberFormat="1" applyFont="1" applyFill="1" applyBorder="1" applyAlignment="1">
      <alignment horizontal="center" vertical="center"/>
    </xf>
    <xf numFmtId="164" fontId="20" fillId="8" borderId="17" xfId="0" applyNumberFormat="1" applyFont="1" applyFill="1" applyBorder="1" applyAlignment="1">
      <alignment horizontal="center" vertical="center"/>
    </xf>
    <xf numFmtId="164" fontId="15" fillId="8" borderId="19" xfId="0" applyNumberFormat="1" applyFont="1" applyFill="1" applyBorder="1" applyAlignment="1">
      <alignment horizontal="left" vertical="center"/>
    </xf>
    <xf numFmtId="164" fontId="18" fillId="8" borderId="5" xfId="0" applyNumberFormat="1" applyFont="1" applyFill="1" applyBorder="1" applyAlignment="1">
      <alignment horizontal="center" vertical="center"/>
    </xf>
    <xf numFmtId="164" fontId="20" fillId="8" borderId="5" xfId="0" applyNumberFormat="1" applyFont="1" applyFill="1" applyBorder="1" applyAlignment="1">
      <alignment horizontal="center" vertical="center"/>
    </xf>
    <xf numFmtId="164" fontId="15" fillId="8" borderId="21" xfId="0" applyNumberFormat="1" applyFont="1" applyFill="1" applyBorder="1" applyAlignment="1">
      <alignment horizontal="left" vertical="center"/>
    </xf>
    <xf numFmtId="164" fontId="18" fillId="8" borderId="13" xfId="0" applyNumberFormat="1" applyFont="1" applyFill="1" applyBorder="1" applyAlignment="1">
      <alignment horizontal="center" vertical="center"/>
    </xf>
    <xf numFmtId="164" fontId="20" fillId="8" borderId="22" xfId="0" applyNumberFormat="1" applyFont="1" applyFill="1" applyBorder="1" applyAlignment="1">
      <alignment horizontal="center" vertical="center"/>
    </xf>
    <xf numFmtId="164" fontId="28" fillId="8" borderId="24" xfId="0" applyNumberFormat="1" applyFont="1" applyFill="1" applyBorder="1" applyAlignment="1">
      <alignment vertical="center"/>
    </xf>
    <xf numFmtId="164" fontId="28" fillId="8" borderId="25" xfId="0" applyNumberFormat="1" applyFont="1" applyFill="1" applyBorder="1" applyAlignment="1">
      <alignment vertical="center"/>
    </xf>
    <xf numFmtId="164" fontId="30" fillId="8" borderId="27" xfId="0" applyNumberFormat="1" applyFont="1" applyFill="1" applyBorder="1" applyAlignment="1">
      <alignment vertical="center"/>
    </xf>
    <xf numFmtId="164" fontId="30" fillId="8" borderId="28" xfId="0" applyNumberFormat="1" applyFont="1" applyFill="1" applyBorder="1" applyAlignment="1">
      <alignment vertical="center"/>
    </xf>
    <xf numFmtId="164" fontId="23" fillId="8" borderId="13" xfId="0" applyNumberFormat="1" applyFont="1" applyFill="1" applyBorder="1" applyAlignment="1">
      <alignment horizontal="center" vertical="center"/>
    </xf>
    <xf numFmtId="164" fontId="23" fillId="8" borderId="22" xfId="0" applyNumberFormat="1" applyFont="1" applyFill="1" applyBorder="1" applyAlignment="1">
      <alignment horizontal="center" vertical="center"/>
    </xf>
    <xf numFmtId="164" fontId="30" fillId="8" borderId="24" xfId="0" applyNumberFormat="1" applyFont="1" applyFill="1" applyBorder="1" applyAlignment="1">
      <alignment vertical="center"/>
    </xf>
    <xf numFmtId="164" fontId="30" fillId="8" borderId="25" xfId="0" applyNumberFormat="1" applyFont="1" applyFill="1" applyBorder="1" applyAlignment="1">
      <alignment vertical="center"/>
    </xf>
    <xf numFmtId="164" fontId="23" fillId="8" borderId="17" xfId="0" applyNumberFormat="1" applyFont="1" applyFill="1" applyBorder="1" applyAlignment="1">
      <alignment horizontal="center" vertical="center"/>
    </xf>
    <xf numFmtId="164" fontId="23" fillId="8" borderId="18" xfId="0" applyNumberFormat="1" applyFont="1" applyFill="1" applyBorder="1" applyAlignment="1">
      <alignment horizontal="center" vertical="center"/>
    </xf>
    <xf numFmtId="0" fontId="10" fillId="9" borderId="0" xfId="0" applyFont="1" applyFill="1"/>
    <xf numFmtId="3" fontId="10" fillId="9" borderId="0" xfId="0" applyNumberFormat="1" applyFont="1" applyFill="1" applyAlignment="1">
      <alignment horizontal="center"/>
    </xf>
    <xf numFmtId="3" fontId="64" fillId="9" borderId="0" xfId="0" applyNumberFormat="1" applyFont="1" applyFill="1" applyAlignment="1">
      <alignment horizontal="center"/>
    </xf>
    <xf numFmtId="3" fontId="10" fillId="9" borderId="0" xfId="0" applyNumberFormat="1" applyFont="1" applyFill="1" applyAlignment="1">
      <alignment horizontal="center" vertical="center"/>
    </xf>
    <xf numFmtId="3" fontId="15" fillId="9" borderId="0" xfId="0" applyNumberFormat="1" applyFont="1" applyFill="1" applyAlignment="1">
      <alignment horizontal="center"/>
    </xf>
    <xf numFmtId="3" fontId="28" fillId="9" borderId="0" xfId="0" applyNumberFormat="1" applyFont="1" applyFill="1" applyAlignment="1">
      <alignment horizontal="center"/>
    </xf>
    <xf numFmtId="3" fontId="24" fillId="9" borderId="0" xfId="0" applyNumberFormat="1" applyFont="1" applyFill="1" applyAlignment="1">
      <alignment horizontal="center"/>
    </xf>
    <xf numFmtId="3" fontId="29" fillId="9" borderId="0" xfId="0" applyNumberFormat="1" applyFont="1" applyFill="1" applyAlignment="1">
      <alignment horizontal="center"/>
    </xf>
    <xf numFmtId="3" fontId="36" fillId="9" borderId="0" xfId="0" applyNumberFormat="1" applyFont="1" applyFill="1" applyAlignment="1">
      <alignment horizontal="center"/>
    </xf>
    <xf numFmtId="3" fontId="10" fillId="9" borderId="0" xfId="0" applyNumberFormat="1" applyFont="1" applyFill="1"/>
    <xf numFmtId="3" fontId="14" fillId="9" borderId="0" xfId="0" applyNumberFormat="1" applyFont="1" applyFill="1" applyAlignment="1">
      <alignment horizontal="center"/>
    </xf>
    <xf numFmtId="3" fontId="45" fillId="9" borderId="0" xfId="0" applyNumberFormat="1" applyFont="1" applyFill="1"/>
    <xf numFmtId="0" fontId="35" fillId="9" borderId="0" xfId="1" applyFont="1" applyFill="1" applyAlignment="1">
      <alignment horizontal="center"/>
    </xf>
    <xf numFmtId="4" fontId="10" fillId="9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51" fillId="9" borderId="0" xfId="0" applyFont="1" applyFill="1"/>
    <xf numFmtId="0" fontId="0" fillId="9" borderId="0" xfId="0" applyFill="1" applyAlignment="1">
      <alignment horizontal="left"/>
    </xf>
    <xf numFmtId="0" fontId="9" fillId="9" borderId="0" xfId="0" applyFont="1" applyFill="1" applyAlignment="1">
      <alignment horizontal="center"/>
    </xf>
    <xf numFmtId="0" fontId="18" fillId="9" borderId="0" xfId="0" applyFont="1" applyFill="1"/>
    <xf numFmtId="0" fontId="22" fillId="9" borderId="0" xfId="0" applyFont="1" applyFill="1"/>
    <xf numFmtId="4" fontId="10" fillId="9" borderId="0" xfId="0" applyNumberFormat="1" applyFont="1" applyFill="1"/>
    <xf numFmtId="0" fontId="19" fillId="9" borderId="5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3" fontId="24" fillId="9" borderId="35" xfId="0" applyNumberFormat="1" applyFont="1" applyFill="1" applyBorder="1" applyAlignment="1">
      <alignment horizontal="center" vertical="center"/>
    </xf>
    <xf numFmtId="3" fontId="51" fillId="9" borderId="0" xfId="0" applyNumberFormat="1" applyFont="1" applyFill="1" applyAlignment="1">
      <alignment horizontal="center" vertical="center"/>
    </xf>
    <xf numFmtId="3" fontId="59" fillId="9" borderId="0" xfId="0" applyNumberFormat="1" applyFont="1" applyFill="1" applyAlignment="1">
      <alignment horizontal="center" vertical="center"/>
    </xf>
    <xf numFmtId="3" fontId="24" fillId="9" borderId="14" xfId="0" applyNumberFormat="1" applyFont="1" applyFill="1" applyBorder="1" applyAlignment="1">
      <alignment horizontal="center" vertical="center"/>
    </xf>
    <xf numFmtId="3" fontId="9" fillId="9" borderId="0" xfId="0" applyNumberFormat="1" applyFont="1" applyFill="1" applyAlignment="1">
      <alignment horizontal="center" vertical="center"/>
    </xf>
    <xf numFmtId="0" fontId="64" fillId="9" borderId="5" xfId="0" applyFont="1" applyFill="1" applyBorder="1" applyAlignment="1">
      <alignment horizontal="center" vertical="center" wrapText="1"/>
    </xf>
    <xf numFmtId="0" fontId="64" fillId="9" borderId="0" xfId="0" applyFont="1" applyFill="1" applyAlignment="1">
      <alignment vertical="center"/>
    </xf>
    <xf numFmtId="2" fontId="27" fillId="9" borderId="0" xfId="0" applyNumberFormat="1" applyFont="1" applyFill="1" applyAlignment="1">
      <alignment horizontal="center" vertical="center"/>
    </xf>
    <xf numFmtId="2" fontId="24" fillId="9" borderId="0" xfId="0" applyNumberFormat="1" applyFont="1" applyFill="1" applyAlignment="1">
      <alignment horizontal="center" vertical="center"/>
    </xf>
    <xf numFmtId="2" fontId="51" fillId="9" borderId="0" xfId="0" applyNumberFormat="1" applyFont="1" applyFill="1" applyAlignment="1">
      <alignment horizontal="center" vertical="center"/>
    </xf>
    <xf numFmtId="0" fontId="66" fillId="9" borderId="0" xfId="0" applyFont="1" applyFill="1" applyAlignment="1">
      <alignment vertical="center"/>
    </xf>
    <xf numFmtId="0" fontId="64" fillId="9" borderId="0" xfId="0" applyFont="1" applyFill="1"/>
    <xf numFmtId="3" fontId="67" fillId="9" borderId="0" xfId="0" applyNumberFormat="1" applyFont="1" applyFill="1" applyAlignment="1">
      <alignment horizontal="center" vertical="center"/>
    </xf>
    <xf numFmtId="0" fontId="68" fillId="9" borderId="0" xfId="0" applyFont="1" applyFill="1"/>
    <xf numFmtId="4" fontId="64" fillId="9" borderId="0" xfId="0" applyNumberFormat="1" applyFont="1" applyFill="1"/>
    <xf numFmtId="0" fontId="69" fillId="9" borderId="0" xfId="0" applyFont="1" applyFill="1" applyAlignment="1">
      <alignment horizontal="center"/>
    </xf>
    <xf numFmtId="0" fontId="65" fillId="9" borderId="0" xfId="0" applyFont="1" applyFill="1" applyAlignment="1">
      <alignment horizontal="center"/>
    </xf>
    <xf numFmtId="0" fontId="65" fillId="9" borderId="0" xfId="0" applyFont="1" applyFill="1"/>
    <xf numFmtId="2" fontId="67" fillId="9" borderId="0" xfId="0" applyNumberFormat="1" applyFont="1" applyFill="1" applyAlignment="1">
      <alignment vertical="center"/>
    </xf>
    <xf numFmtId="3" fontId="64" fillId="9" borderId="0" xfId="0" applyNumberFormat="1" applyFont="1" applyFill="1"/>
    <xf numFmtId="0" fontId="64" fillId="9" borderId="5" xfId="0" applyFont="1" applyFill="1" applyBorder="1" applyAlignment="1">
      <alignment horizontal="center" vertical="center"/>
    </xf>
    <xf numFmtId="4" fontId="70" fillId="9" borderId="0" xfId="0" applyNumberFormat="1" applyFont="1" applyFill="1" applyAlignment="1">
      <alignment horizontal="center" vertical="center"/>
    </xf>
    <xf numFmtId="3" fontId="14" fillId="9" borderId="1" xfId="0" applyNumberFormat="1" applyFont="1" applyFill="1" applyBorder="1" applyAlignment="1">
      <alignment horizontal="center" vertical="center"/>
    </xf>
    <xf numFmtId="3" fontId="66" fillId="9" borderId="0" xfId="0" applyNumberFormat="1" applyFont="1" applyFill="1" applyAlignment="1">
      <alignment horizontal="center" vertical="center"/>
    </xf>
    <xf numFmtId="0" fontId="67" fillId="9" borderId="0" xfId="0" applyFont="1" applyFill="1" applyAlignment="1">
      <alignment vertical="center"/>
    </xf>
    <xf numFmtId="0" fontId="19" fillId="9" borderId="5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14" fontId="27" fillId="9" borderId="1" xfId="0" applyNumberFormat="1" applyFont="1" applyFill="1" applyBorder="1" applyAlignment="1">
      <alignment horizontal="center" vertical="center"/>
    </xf>
    <xf numFmtId="14" fontId="14" fillId="9" borderId="1" xfId="0" applyNumberFormat="1" applyFont="1" applyFill="1" applyBorder="1" applyAlignment="1">
      <alignment horizontal="center" vertical="center"/>
    </xf>
    <xf numFmtId="173" fontId="27" fillId="9" borderId="1" xfId="0" applyNumberFormat="1" applyFont="1" applyFill="1" applyBorder="1" applyAlignment="1">
      <alignment horizontal="center" vertical="center"/>
    </xf>
    <xf numFmtId="0" fontId="18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169" fontId="10" fillId="9" borderId="0" xfId="0" applyNumberFormat="1" applyFont="1" applyFill="1" applyAlignment="1">
      <alignment vertical="center"/>
    </xf>
    <xf numFmtId="3" fontId="10" fillId="9" borderId="0" xfId="0" applyNumberFormat="1" applyFont="1" applyFill="1" applyAlignment="1">
      <alignment vertical="center"/>
    </xf>
    <xf numFmtId="4" fontId="10" fillId="9" borderId="0" xfId="0" applyNumberFormat="1" applyFont="1" applyFill="1" applyAlignment="1">
      <alignment vertical="center"/>
    </xf>
    <xf numFmtId="0" fontId="15" fillId="9" borderId="0" xfId="0" applyFont="1" applyFill="1" applyAlignment="1">
      <alignment horizontal="center"/>
    </xf>
    <xf numFmtId="3" fontId="14" fillId="9" borderId="1" xfId="0" quotePrefix="1" applyNumberFormat="1" applyFont="1" applyFill="1" applyBorder="1" applyAlignment="1">
      <alignment horizontal="center" vertical="center"/>
    </xf>
    <xf numFmtId="169" fontId="10" fillId="9" borderId="0" xfId="0" applyNumberFormat="1" applyFont="1" applyFill="1"/>
    <xf numFmtId="0" fontId="10" fillId="9" borderId="5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left" vertical="center"/>
    </xf>
    <xf numFmtId="0" fontId="10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4" fontId="10" fillId="9" borderId="0" xfId="0" applyNumberFormat="1" applyFont="1" applyFill="1" applyAlignment="1">
      <alignment horizontal="center" vertical="center"/>
    </xf>
    <xf numFmtId="3" fontId="11" fillId="9" borderId="0" xfId="0" applyNumberFormat="1" applyFont="1" applyFill="1" applyAlignment="1">
      <alignment horizontal="center" vertical="center"/>
    </xf>
    <xf numFmtId="0" fontId="17" fillId="9" borderId="0" xfId="0" applyFont="1" applyFill="1" applyAlignment="1">
      <alignment vertical="center"/>
    </xf>
    <xf numFmtId="164" fontId="27" fillId="9" borderId="0" xfId="0" applyNumberFormat="1" applyFont="1" applyFill="1" applyAlignment="1">
      <alignment horizontal="right" vertical="center"/>
    </xf>
    <xf numFmtId="0" fontId="27" fillId="9" borderId="0" xfId="0" applyFont="1" applyFill="1" applyAlignment="1">
      <alignment horizontal="right" vertical="center"/>
    </xf>
    <xf numFmtId="0" fontId="27" fillId="9" borderId="0" xfId="0" applyFont="1" applyFill="1" applyAlignment="1">
      <alignment vertical="center"/>
    </xf>
    <xf numFmtId="0" fontId="43" fillId="9" borderId="0" xfId="0" applyFont="1" applyFill="1" applyAlignment="1">
      <alignment vertical="center"/>
    </xf>
    <xf numFmtId="0" fontId="50" fillId="9" borderId="0" xfId="0" applyFont="1" applyFill="1" applyAlignment="1">
      <alignment vertical="center"/>
    </xf>
    <xf numFmtId="4" fontId="17" fillId="9" borderId="0" xfId="0" applyNumberFormat="1" applyFont="1" applyFill="1" applyAlignment="1">
      <alignment vertical="center"/>
    </xf>
    <xf numFmtId="164" fontId="28" fillId="9" borderId="0" xfId="0" applyNumberFormat="1" applyFont="1" applyFill="1" applyAlignment="1">
      <alignment horizontal="right" vertical="center"/>
    </xf>
    <xf numFmtId="0" fontId="28" fillId="9" borderId="0" xfId="0" applyFont="1" applyFill="1" applyAlignment="1">
      <alignment horizontal="right" vertical="center"/>
    </xf>
    <xf numFmtId="0" fontId="45" fillId="9" borderId="0" xfId="0" applyFont="1" applyFill="1" applyAlignment="1">
      <alignment vertical="center"/>
    </xf>
    <xf numFmtId="0" fontId="51" fillId="9" borderId="0" xfId="0" applyFont="1" applyFill="1" applyAlignment="1">
      <alignment vertical="center"/>
    </xf>
    <xf numFmtId="4" fontId="22" fillId="9" borderId="0" xfId="0" applyNumberFormat="1" applyFont="1" applyFill="1" applyAlignment="1">
      <alignment vertical="center"/>
    </xf>
    <xf numFmtId="164" fontId="49" fillId="9" borderId="0" xfId="0" applyNumberFormat="1" applyFont="1" applyFill="1" applyAlignment="1">
      <alignment horizontal="right" vertical="center"/>
    </xf>
    <xf numFmtId="0" fontId="53" fillId="9" borderId="0" xfId="0" applyFont="1" applyFill="1" applyAlignment="1">
      <alignment vertical="center"/>
    </xf>
    <xf numFmtId="0" fontId="55" fillId="9" borderId="5" xfId="0" applyFont="1" applyFill="1" applyBorder="1" applyAlignment="1">
      <alignment horizontal="center" vertical="center"/>
    </xf>
    <xf numFmtId="165" fontId="22" fillId="9" borderId="0" xfId="0" applyNumberFormat="1" applyFont="1" applyFill="1" applyAlignment="1">
      <alignment vertical="center"/>
    </xf>
    <xf numFmtId="0" fontId="61" fillId="9" borderId="0" xfId="0" applyFont="1" applyFill="1" applyAlignment="1">
      <alignment vertical="center"/>
    </xf>
    <xf numFmtId="0" fontId="56" fillId="9" borderId="0" xfId="0" applyFont="1" applyFill="1" applyAlignment="1">
      <alignment vertical="center"/>
    </xf>
    <xf numFmtId="4" fontId="50" fillId="9" borderId="0" xfId="0" applyNumberFormat="1" applyFont="1" applyFill="1" applyAlignment="1">
      <alignment vertical="center"/>
    </xf>
    <xf numFmtId="0" fontId="53" fillId="9" borderId="0" xfId="0" applyFont="1" applyFill="1"/>
    <xf numFmtId="4" fontId="22" fillId="9" borderId="0" xfId="0" applyNumberFormat="1" applyFont="1" applyFill="1"/>
    <xf numFmtId="0" fontId="27" fillId="9" borderId="0" xfId="0" applyFont="1" applyFill="1"/>
    <xf numFmtId="0" fontId="15" fillId="9" borderId="0" xfId="0" applyFont="1" applyFill="1"/>
    <xf numFmtId="0" fontId="15" fillId="9" borderId="0" xfId="0" applyFont="1" applyFill="1" applyAlignment="1">
      <alignment vertical="center"/>
    </xf>
    <xf numFmtId="0" fontId="10" fillId="9" borderId="0" xfId="0" applyFont="1" applyFill="1" applyAlignment="1">
      <alignment horizontal="center"/>
    </xf>
    <xf numFmtId="10" fontId="22" fillId="9" borderId="0" xfId="0" applyNumberFormat="1" applyFont="1" applyFill="1"/>
    <xf numFmtId="10" fontId="24" fillId="9" borderId="0" xfId="0" applyNumberFormat="1" applyFont="1" applyFill="1"/>
    <xf numFmtId="0" fontId="12" fillId="9" borderId="5" xfId="0" applyFont="1" applyFill="1" applyBorder="1" applyAlignment="1">
      <alignment horizontal="center" vertical="center"/>
    </xf>
    <xf numFmtId="0" fontId="24" fillId="9" borderId="0" xfId="0" applyFont="1" applyFill="1"/>
    <xf numFmtId="0" fontId="14" fillId="9" borderId="0" xfId="0" applyFont="1" applyFill="1"/>
    <xf numFmtId="4" fontId="24" fillId="9" borderId="0" xfId="0" applyNumberFormat="1" applyFont="1" applyFill="1"/>
    <xf numFmtId="0" fontId="19" fillId="9" borderId="19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0" fontId="29" fillId="9" borderId="0" xfId="0" applyNumberFormat="1" applyFont="1" applyFill="1"/>
    <xf numFmtId="0" fontId="36" fillId="9" borderId="5" xfId="0" applyFont="1" applyFill="1" applyBorder="1" applyAlignment="1">
      <alignment horizontal="center" vertical="center"/>
    </xf>
    <xf numFmtId="0" fontId="29" fillId="9" borderId="0" xfId="0" applyFont="1" applyFill="1"/>
    <xf numFmtId="0" fontId="54" fillId="9" borderId="0" xfId="0" applyFont="1" applyFill="1"/>
    <xf numFmtId="4" fontId="29" fillId="9" borderId="0" xfId="0" applyNumberFormat="1" applyFont="1" applyFill="1"/>
    <xf numFmtId="0" fontId="29" fillId="9" borderId="0" xfId="0" applyFont="1" applyFill="1" applyAlignment="1">
      <alignment horizontal="center"/>
    </xf>
    <xf numFmtId="165" fontId="29" fillId="9" borderId="0" xfId="0" applyNumberFormat="1" applyFont="1" applyFill="1"/>
    <xf numFmtId="0" fontId="36" fillId="9" borderId="0" xfId="0" applyFont="1" applyFill="1"/>
    <xf numFmtId="0" fontId="23" fillId="9" borderId="0" xfId="0" applyFont="1" applyFill="1"/>
    <xf numFmtId="4" fontId="36" fillId="9" borderId="0" xfId="0" applyNumberFormat="1" applyFont="1" applyFill="1"/>
    <xf numFmtId="164" fontId="10" fillId="9" borderId="0" xfId="0" applyNumberFormat="1" applyFont="1" applyFill="1"/>
    <xf numFmtId="0" fontId="11" fillId="9" borderId="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24" fillId="9" borderId="5" xfId="0" applyFont="1" applyFill="1" applyBorder="1" applyAlignment="1">
      <alignment horizontal="center"/>
    </xf>
    <xf numFmtId="4" fontId="14" fillId="9" borderId="5" xfId="0" applyNumberFormat="1" applyFont="1" applyFill="1" applyBorder="1" applyAlignment="1">
      <alignment horizontal="center"/>
    </xf>
    <xf numFmtId="164" fontId="11" fillId="9" borderId="0" xfId="0" applyNumberFormat="1" applyFont="1" applyFill="1"/>
    <xf numFmtId="0" fontId="14" fillId="9" borderId="0" xfId="0" applyFont="1" applyFill="1" applyAlignment="1">
      <alignment horizontal="center"/>
    </xf>
    <xf numFmtId="0" fontId="45" fillId="9" borderId="0" xfId="0" applyFont="1" applyFill="1" applyAlignment="1">
      <alignment horizontal="right" vertical="center"/>
    </xf>
    <xf numFmtId="170" fontId="45" fillId="9" borderId="0" xfId="0" applyNumberFormat="1" applyFont="1" applyFill="1" applyAlignment="1">
      <alignment horizontal="right" vertical="center"/>
    </xf>
    <xf numFmtId="174" fontId="45" fillId="9" borderId="0" xfId="0" applyNumberFormat="1" applyFont="1" applyFill="1" applyAlignment="1">
      <alignment horizontal="center" vertical="center"/>
    </xf>
    <xf numFmtId="20" fontId="45" fillId="9" borderId="0" xfId="0" applyNumberFormat="1" applyFont="1" applyFill="1" applyAlignment="1">
      <alignment horizontal="center" vertical="center"/>
    </xf>
    <xf numFmtId="171" fontId="45" fillId="9" borderId="0" xfId="0" applyNumberFormat="1" applyFont="1" applyFill="1" applyAlignment="1">
      <alignment vertical="center"/>
    </xf>
    <xf numFmtId="172" fontId="45" fillId="9" borderId="0" xfId="0" applyNumberFormat="1" applyFont="1" applyFill="1" applyAlignment="1">
      <alignment vertical="center"/>
    </xf>
    <xf numFmtId="164" fontId="45" fillId="9" borderId="5" xfId="0" applyNumberFormat="1" applyFont="1" applyFill="1" applyBorder="1" applyAlignment="1">
      <alignment vertical="center"/>
    </xf>
    <xf numFmtId="164" fontId="45" fillId="9" borderId="0" xfId="0" applyNumberFormat="1" applyFont="1" applyFill="1" applyAlignment="1">
      <alignment vertical="center"/>
    </xf>
    <xf numFmtId="3" fontId="45" fillId="9" borderId="5" xfId="0" applyNumberFormat="1" applyFont="1" applyFill="1" applyBorder="1" applyAlignment="1">
      <alignment vertical="center"/>
    </xf>
    <xf numFmtId="165" fontId="53" fillId="9" borderId="0" xfId="0" applyNumberFormat="1" applyFont="1" applyFill="1" applyAlignment="1">
      <alignment vertical="center"/>
    </xf>
    <xf numFmtId="1" fontId="45" fillId="9" borderId="5" xfId="0" applyNumberFormat="1" applyFont="1" applyFill="1" applyBorder="1" applyAlignment="1">
      <alignment vertical="center"/>
    </xf>
    <xf numFmtId="165" fontId="45" fillId="9" borderId="0" xfId="0" applyNumberFormat="1" applyFont="1" applyFill="1" applyAlignment="1">
      <alignment vertical="center"/>
    </xf>
    <xf numFmtId="169" fontId="45" fillId="9" borderId="0" xfId="0" applyNumberFormat="1" applyFont="1" applyFill="1" applyAlignment="1">
      <alignment vertical="center"/>
    </xf>
    <xf numFmtId="169" fontId="53" fillId="9" borderId="0" xfId="0" applyNumberFormat="1" applyFont="1" applyFill="1" applyAlignment="1">
      <alignment vertical="center"/>
    </xf>
    <xf numFmtId="4" fontId="45" fillId="9" borderId="0" xfId="0" applyNumberFormat="1" applyFont="1" applyFill="1" applyAlignment="1">
      <alignment vertical="center"/>
    </xf>
    <xf numFmtId="169" fontId="22" fillId="9" borderId="0" xfId="0" applyNumberFormat="1" applyFont="1" applyFill="1" applyAlignment="1">
      <alignment vertical="center"/>
    </xf>
    <xf numFmtId="164" fontId="18" fillId="9" borderId="0" xfId="0" applyNumberFormat="1" applyFont="1" applyFill="1"/>
    <xf numFmtId="164" fontId="27" fillId="9" borderId="5" xfId="0" applyNumberFormat="1" applyFont="1" applyFill="1" applyBorder="1" applyAlignment="1">
      <alignment vertical="center"/>
    </xf>
    <xf numFmtId="3" fontId="27" fillId="9" borderId="5" xfId="0" applyNumberFormat="1" applyFont="1" applyFill="1" applyBorder="1" applyAlignment="1">
      <alignment vertical="center"/>
    </xf>
    <xf numFmtId="1" fontId="27" fillId="9" borderId="5" xfId="0" applyNumberFormat="1" applyFont="1" applyFill="1" applyBorder="1" applyAlignment="1">
      <alignment vertical="center"/>
    </xf>
    <xf numFmtId="0" fontId="45" fillId="9" borderId="0" xfId="0" applyFont="1" applyFill="1" applyAlignment="1">
      <alignment horizontal="center" vertical="center"/>
    </xf>
    <xf numFmtId="170" fontId="45" fillId="9" borderId="0" xfId="0" applyNumberFormat="1" applyFont="1" applyFill="1" applyAlignment="1">
      <alignment vertical="center"/>
    </xf>
    <xf numFmtId="169" fontId="27" fillId="9" borderId="5" xfId="0" applyNumberFormat="1" applyFont="1" applyFill="1" applyBorder="1" applyAlignment="1">
      <alignment vertical="center"/>
    </xf>
    <xf numFmtId="164" fontId="45" fillId="9" borderId="0" xfId="0" applyNumberFormat="1" applyFont="1" applyFill="1"/>
    <xf numFmtId="0" fontId="60" fillId="9" borderId="0" xfId="0" applyFont="1" applyFill="1" applyAlignment="1">
      <alignment vertical="center"/>
    </xf>
    <xf numFmtId="0" fontId="20" fillId="9" borderId="0" xfId="0" applyFont="1" applyFill="1"/>
    <xf numFmtId="165" fontId="0" fillId="9" borderId="0" xfId="0" applyNumberFormat="1" applyFill="1"/>
    <xf numFmtId="164" fontId="14" fillId="9" borderId="0" xfId="0" applyNumberFormat="1" applyFont="1" applyFill="1" applyAlignment="1">
      <alignment vertical="center"/>
    </xf>
    <xf numFmtId="164" fontId="11" fillId="9" borderId="0" xfId="0" applyNumberFormat="1" applyFont="1" applyFill="1" applyAlignment="1">
      <alignment vertical="center"/>
    </xf>
    <xf numFmtId="4" fontId="72" fillId="3" borderId="40" xfId="0" applyNumberFormat="1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vertical="center"/>
    </xf>
    <xf numFmtId="164" fontId="14" fillId="9" borderId="0" xfId="0" applyNumberFormat="1" applyFont="1" applyFill="1" applyAlignment="1">
      <alignment horizontal="right" vertical="center"/>
    </xf>
    <xf numFmtId="0" fontId="14" fillId="9" borderId="0" xfId="0" applyFont="1" applyFill="1" applyAlignment="1">
      <alignment horizontal="right" vertical="center"/>
    </xf>
    <xf numFmtId="165" fontId="11" fillId="3" borderId="0" xfId="0" applyNumberFormat="1" applyFont="1" applyFill="1" applyAlignment="1">
      <alignment horizontal="right"/>
    </xf>
    <xf numFmtId="165" fontId="58" fillId="3" borderId="0" xfId="0" applyNumberFormat="1" applyFont="1" applyFill="1" applyAlignment="1">
      <alignment horizontal="right"/>
    </xf>
    <xf numFmtId="165" fontId="15" fillId="3" borderId="0" xfId="0" applyNumberFormat="1" applyFont="1" applyFill="1" applyAlignment="1">
      <alignment horizontal="center" vertical="center" wrapText="1"/>
    </xf>
    <xf numFmtId="165" fontId="10" fillId="3" borderId="0" xfId="0" applyNumberFormat="1" applyFont="1" applyFill="1" applyAlignment="1">
      <alignment horizontal="center"/>
    </xf>
    <xf numFmtId="165" fontId="11" fillId="8" borderId="7" xfId="0" applyNumberFormat="1" applyFont="1" applyFill="1" applyBorder="1" applyAlignment="1">
      <alignment horizontal="center" vertical="center" wrapText="1"/>
    </xf>
    <xf numFmtId="165" fontId="18" fillId="0" borderId="7" xfId="0" quotePrefix="1" applyNumberFormat="1" applyFont="1" applyBorder="1" applyAlignment="1">
      <alignment horizontal="right" vertical="center"/>
    </xf>
    <xf numFmtId="165" fontId="51" fillId="0" borderId="7" xfId="0" quotePrefix="1" applyNumberFormat="1" applyFont="1" applyBorder="1" applyAlignment="1">
      <alignment horizontal="right" vertical="center"/>
    </xf>
    <xf numFmtId="165" fontId="11" fillId="3" borderId="0" xfId="0" applyNumberFormat="1" applyFont="1" applyFill="1" applyAlignment="1">
      <alignment horizontal="right" vertical="center"/>
    </xf>
    <xf numFmtId="165" fontId="16" fillId="3" borderId="0" xfId="0" applyNumberFormat="1" applyFont="1" applyFill="1" applyAlignment="1">
      <alignment horizontal="right"/>
    </xf>
    <xf numFmtId="165" fontId="13" fillId="3" borderId="0" xfId="0" applyNumberFormat="1" applyFont="1" applyFill="1" applyAlignment="1">
      <alignment horizontal="right"/>
    </xf>
    <xf numFmtId="165" fontId="37" fillId="3" borderId="0" xfId="0" applyNumberFormat="1" applyFont="1" applyFill="1" applyAlignment="1">
      <alignment horizontal="right"/>
    </xf>
    <xf numFmtId="165" fontId="10" fillId="3" borderId="0" xfId="0" applyNumberFormat="1" applyFont="1" applyFill="1"/>
    <xf numFmtId="165" fontId="11" fillId="0" borderId="0" xfId="0" applyNumberFormat="1" applyFont="1" applyAlignment="1">
      <alignment horizontal="right"/>
    </xf>
    <xf numFmtId="0" fontId="10" fillId="8" borderId="51" xfId="0" applyFont="1" applyFill="1" applyBorder="1"/>
    <xf numFmtId="0" fontId="10" fillId="8" borderId="38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15" fillId="8" borderId="52" xfId="0" applyFont="1" applyFill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/>
    </xf>
    <xf numFmtId="0" fontId="10" fillId="0" borderId="4" xfId="0" quotePrefix="1" applyFont="1" applyBorder="1" applyAlignment="1">
      <alignment vertical="center"/>
    </xf>
    <xf numFmtId="165" fontId="11" fillId="8" borderId="32" xfId="0" applyNumberFormat="1" applyFont="1" applyFill="1" applyBorder="1" applyAlignment="1">
      <alignment horizontal="right" vertical="center"/>
    </xf>
    <xf numFmtId="164" fontId="15" fillId="8" borderId="54" xfId="0" applyNumberFormat="1" applyFont="1" applyFill="1" applyBorder="1" applyAlignment="1">
      <alignment horizontal="center" vertical="center"/>
    </xf>
    <xf numFmtId="164" fontId="18" fillId="8" borderId="18" xfId="0" applyNumberFormat="1" applyFont="1" applyFill="1" applyBorder="1" applyAlignment="1">
      <alignment horizontal="center" vertical="center"/>
    </xf>
    <xf numFmtId="164" fontId="74" fillId="8" borderId="15" xfId="0" applyNumberFormat="1" applyFont="1" applyFill="1" applyBorder="1" applyAlignment="1">
      <alignment horizontal="left" vertical="center"/>
    </xf>
    <xf numFmtId="164" fontId="74" fillId="8" borderId="36" xfId="0" applyNumberFormat="1" applyFont="1" applyFill="1" applyBorder="1" applyAlignment="1">
      <alignment horizontal="left" vertical="center"/>
    </xf>
    <xf numFmtId="165" fontId="10" fillId="3" borderId="0" xfId="0" applyNumberFormat="1" applyFont="1" applyFill="1" applyAlignment="1">
      <alignment horizontal="left"/>
    </xf>
    <xf numFmtId="164" fontId="18" fillId="8" borderId="37" xfId="0" applyNumberFormat="1" applyFont="1" applyFill="1" applyBorder="1" applyAlignment="1">
      <alignment horizontal="center" vertical="center"/>
    </xf>
    <xf numFmtId="164" fontId="15" fillId="8" borderId="4" xfId="0" applyNumberFormat="1" applyFont="1" applyFill="1" applyBorder="1" applyAlignment="1">
      <alignment horizontal="center" vertical="center" wrapText="1"/>
    </xf>
    <xf numFmtId="164" fontId="15" fillId="8" borderId="5" xfId="0" applyNumberFormat="1" applyFont="1" applyFill="1" applyBorder="1" applyAlignment="1">
      <alignment horizontal="center" vertical="center" wrapText="1"/>
    </xf>
    <xf numFmtId="164" fontId="15" fillId="8" borderId="6" xfId="0" applyNumberFormat="1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/>
    </xf>
    <xf numFmtId="0" fontId="49" fillId="9" borderId="0" xfId="0" applyFont="1" applyFill="1" applyAlignment="1">
      <alignment horizontal="right" vertical="center"/>
    </xf>
    <xf numFmtId="0" fontId="49" fillId="9" borderId="0" xfId="0" applyFont="1" applyFill="1" applyAlignment="1">
      <alignment vertical="center"/>
    </xf>
    <xf numFmtId="3" fontId="27" fillId="9" borderId="1" xfId="0" quotePrefix="1" applyNumberFormat="1" applyFont="1" applyFill="1" applyBorder="1" applyAlignment="1">
      <alignment horizontal="center" vertical="center"/>
    </xf>
    <xf numFmtId="3" fontId="27" fillId="9" borderId="1" xfId="0" applyNumberFormat="1" applyFont="1" applyFill="1" applyBorder="1" applyAlignment="1">
      <alignment horizontal="center" vertical="center"/>
    </xf>
    <xf numFmtId="3" fontId="27" fillId="9" borderId="35" xfId="0" applyNumberFormat="1" applyFont="1" applyFill="1" applyBorder="1" applyAlignment="1">
      <alignment horizontal="center" vertical="center"/>
    </xf>
    <xf numFmtId="3" fontId="27" fillId="9" borderId="14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3" fillId="0" borderId="0" xfId="0" applyNumberFormat="1" applyFont="1" applyFill="1"/>
    <xf numFmtId="3" fontId="20" fillId="9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1" fontId="14" fillId="9" borderId="5" xfId="0" applyNumberFormat="1" applyFont="1" applyFill="1" applyBorder="1"/>
    <xf numFmtId="165" fontId="20" fillId="9" borderId="5" xfId="0" applyNumberFormat="1" applyFont="1" applyFill="1" applyBorder="1" applyAlignment="1">
      <alignment vertical="center"/>
    </xf>
    <xf numFmtId="169" fontId="14" fillId="9" borderId="5" xfId="0" applyNumberFormat="1" applyFont="1" applyFill="1" applyBorder="1" applyAlignment="1">
      <alignment horizontal="right"/>
    </xf>
    <xf numFmtId="169" fontId="24" fillId="9" borderId="5" xfId="0" applyNumberFormat="1" applyFont="1" applyFill="1" applyBorder="1" applyAlignment="1">
      <alignment horizontal="right"/>
    </xf>
    <xf numFmtId="0" fontId="24" fillId="9" borderId="5" xfId="0" applyFont="1" applyFill="1" applyBorder="1" applyAlignment="1">
      <alignment horizontal="right"/>
    </xf>
    <xf numFmtId="4" fontId="14" fillId="9" borderId="5" xfId="0" applyNumberFormat="1" applyFont="1" applyFill="1" applyBorder="1" applyAlignment="1">
      <alignment horizontal="right"/>
    </xf>
    <xf numFmtId="2" fontId="2" fillId="0" borderId="0" xfId="0" applyNumberFormat="1" applyFont="1" applyBorder="1"/>
    <xf numFmtId="2" fontId="3" fillId="0" borderId="0" xfId="0" applyNumberFormat="1" applyFont="1" applyBorder="1"/>
    <xf numFmtId="2" fontId="52" fillId="0" borderId="45" xfId="0" applyNumberFormat="1" applyFont="1" applyBorder="1"/>
    <xf numFmtId="2" fontId="3" fillId="0" borderId="48" xfId="0" applyNumberFormat="1" applyFont="1" applyBorder="1"/>
    <xf numFmtId="0" fontId="52" fillId="0" borderId="48" xfId="0" applyFont="1" applyBorder="1"/>
    <xf numFmtId="2" fontId="52" fillId="0" borderId="0" xfId="0" applyNumberFormat="1" applyFont="1" applyBorder="1"/>
    <xf numFmtId="2" fontId="3" fillId="0" borderId="49" xfId="0" applyNumberFormat="1" applyFont="1" applyBorder="1"/>
    <xf numFmtId="2" fontId="52" fillId="0" borderId="49" xfId="0" applyNumberFormat="1" applyFont="1" applyBorder="1"/>
    <xf numFmtId="2" fontId="2" fillId="0" borderId="48" xfId="0" applyNumberFormat="1" applyFont="1" applyBorder="1"/>
    <xf numFmtId="0" fontId="40" fillId="0" borderId="48" xfId="0" applyFont="1" applyBorder="1"/>
    <xf numFmtId="2" fontId="40" fillId="0" borderId="0" xfId="0" applyNumberFormat="1" applyFont="1" applyBorder="1"/>
    <xf numFmtId="2" fontId="2" fillId="0" borderId="49" xfId="0" applyNumberFormat="1" applyFont="1" applyBorder="1"/>
    <xf numFmtId="2" fontId="40" fillId="0" borderId="49" xfId="0" applyNumberFormat="1" applyFont="1" applyBorder="1"/>
    <xf numFmtId="0" fontId="14" fillId="9" borderId="0" xfId="0" applyFont="1" applyFill="1" applyAlignment="1">
      <alignment horizontal="center" vertical="center"/>
    </xf>
    <xf numFmtId="0" fontId="28" fillId="9" borderId="0" xfId="0" applyFont="1" applyFill="1"/>
    <xf numFmtId="0" fontId="18" fillId="9" borderId="0" xfId="0" applyNumberFormat="1" applyFont="1" applyFill="1" applyAlignment="1">
      <alignment vertical="center"/>
    </xf>
    <xf numFmtId="0" fontId="15" fillId="9" borderId="0" xfId="0" applyNumberFormat="1" applyFont="1" applyFill="1"/>
    <xf numFmtId="0" fontId="16" fillId="9" borderId="0" xfId="0" applyFont="1" applyFill="1"/>
    <xf numFmtId="0" fontId="13" fillId="9" borderId="0" xfId="0" applyFont="1" applyFill="1"/>
    <xf numFmtId="0" fontId="13" fillId="9" borderId="0" xfId="0" applyFont="1" applyFill="1" applyAlignment="1">
      <alignment horizontal="center"/>
    </xf>
    <xf numFmtId="0" fontId="32" fillId="9" borderId="0" xfId="0" applyFont="1" applyFill="1"/>
    <xf numFmtId="165" fontId="48" fillId="9" borderId="0" xfId="0" applyNumberFormat="1" applyFont="1" applyFill="1"/>
    <xf numFmtId="0" fontId="48" fillId="9" borderId="0" xfId="0" applyNumberFormat="1" applyFont="1" applyFill="1"/>
    <xf numFmtId="0" fontId="18" fillId="9" borderId="0" xfId="0" applyNumberFormat="1" applyFont="1" applyFill="1"/>
    <xf numFmtId="0" fontId="45" fillId="9" borderId="0" xfId="0" applyNumberFormat="1" applyFont="1" applyFill="1" applyAlignment="1">
      <alignment vertical="center"/>
    </xf>
    <xf numFmtId="3" fontId="45" fillId="9" borderId="0" xfId="0" applyNumberFormat="1" applyFont="1" applyFill="1" applyAlignment="1">
      <alignment vertical="center"/>
    </xf>
    <xf numFmtId="4" fontId="45" fillId="9" borderId="6" xfId="0" applyNumberFormat="1" applyFont="1" applyFill="1" applyBorder="1" applyAlignment="1">
      <alignment vertical="center"/>
    </xf>
    <xf numFmtId="168" fontId="45" fillId="3" borderId="0" xfId="0" applyNumberFormat="1" applyFont="1" applyFill="1"/>
    <xf numFmtId="0" fontId="45" fillId="9" borderId="0" xfId="0" applyFont="1" applyFill="1" applyAlignment="1">
      <alignment horizontal="center"/>
    </xf>
    <xf numFmtId="169" fontId="45" fillId="9" borderId="0" xfId="0" applyNumberFormat="1" applyFont="1" applyFill="1"/>
    <xf numFmtId="0" fontId="18" fillId="9" borderId="0" xfId="0" applyFont="1" applyFill="1" applyAlignment="1">
      <alignment horizontal="center"/>
    </xf>
    <xf numFmtId="169" fontId="18" fillId="9" borderId="0" xfId="0" applyNumberFormat="1" applyFont="1" applyFill="1"/>
    <xf numFmtId="0" fontId="20" fillId="9" borderId="0" xfId="0" applyFont="1" applyFill="1" applyAlignment="1">
      <alignment horizontal="center"/>
    </xf>
    <xf numFmtId="169" fontId="20" fillId="9" borderId="0" xfId="0" applyNumberFormat="1" applyFont="1" applyFill="1"/>
    <xf numFmtId="0" fontId="14" fillId="9" borderId="0" xfId="0" applyNumberFormat="1" applyFont="1" applyFill="1" applyAlignment="1">
      <alignment vertical="center"/>
    </xf>
    <xf numFmtId="3" fontId="14" fillId="9" borderId="5" xfId="0" applyNumberFormat="1" applyFont="1" applyFill="1" applyBorder="1" applyAlignment="1">
      <alignment vertical="center"/>
    </xf>
    <xf numFmtId="165" fontId="10" fillId="9" borderId="0" xfId="0" applyNumberFormat="1" applyFont="1" applyFill="1" applyAlignment="1">
      <alignment vertical="center"/>
    </xf>
    <xf numFmtId="0" fontId="15" fillId="3" borderId="56" xfId="0" applyFont="1" applyFill="1" applyBorder="1" applyAlignment="1"/>
    <xf numFmtId="0" fontId="15" fillId="3" borderId="57" xfId="0" applyFont="1" applyFill="1" applyBorder="1" applyAlignment="1"/>
    <xf numFmtId="164" fontId="79" fillId="8" borderId="20" xfId="0" applyNumberFormat="1" applyFont="1" applyFill="1" applyBorder="1" applyAlignment="1">
      <alignment horizontal="left" vertical="center"/>
    </xf>
    <xf numFmtId="176" fontId="10" fillId="8" borderId="37" xfId="0" applyNumberFormat="1" applyFont="1" applyFill="1" applyBorder="1" applyAlignment="1">
      <alignment horizontal="center" vertical="center"/>
    </xf>
    <xf numFmtId="0" fontId="22" fillId="9" borderId="0" xfId="0" applyFont="1" applyFill="1" applyAlignment="1">
      <alignment horizontal="right"/>
    </xf>
    <xf numFmtId="0" fontId="22" fillId="9" borderId="0" xfId="0" quotePrefix="1" applyFont="1" applyFill="1" applyAlignment="1">
      <alignment horizontal="right"/>
    </xf>
    <xf numFmtId="4" fontId="10" fillId="9" borderId="0" xfId="0" quotePrefix="1" applyNumberFormat="1" applyFont="1" applyFill="1" applyAlignment="1">
      <alignment horizontal="right" vertical="center"/>
    </xf>
    <xf numFmtId="2" fontId="17" fillId="9" borderId="0" xfId="0" applyNumberFormat="1" applyFont="1" applyFill="1" applyAlignment="1">
      <alignment vertical="center"/>
    </xf>
    <xf numFmtId="0" fontId="45" fillId="9" borderId="4" xfId="0" applyFont="1" applyFill="1" applyBorder="1" applyAlignment="1">
      <alignment horizontal="center" vertical="center"/>
    </xf>
    <xf numFmtId="164" fontId="45" fillId="3" borderId="0" xfId="0" applyNumberFormat="1" applyFont="1" applyFill="1"/>
    <xf numFmtId="175" fontId="83" fillId="3" borderId="0" xfId="0" applyNumberFormat="1" applyFont="1" applyFill="1" applyAlignment="1">
      <alignment horizontal="left"/>
    </xf>
    <xf numFmtId="0" fontId="14" fillId="2" borderId="59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0" fillId="0" borderId="61" xfId="0" quotePrefix="1" applyFont="1" applyBorder="1" applyAlignment="1">
      <alignment vertical="center"/>
    </xf>
    <xf numFmtId="0" fontId="10" fillId="0" borderId="62" xfId="0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65" fontId="18" fillId="0" borderId="64" xfId="0" quotePrefix="1" applyNumberFormat="1" applyFont="1" applyBorder="1" applyAlignment="1">
      <alignment horizontal="right" vertical="center"/>
    </xf>
    <xf numFmtId="165" fontId="10" fillId="0" borderId="64" xfId="0" applyNumberFormat="1" applyFont="1" applyBorder="1" applyAlignment="1">
      <alignment horizontal="right" vertical="center"/>
    </xf>
    <xf numFmtId="165" fontId="10" fillId="0" borderId="64" xfId="0" applyNumberFormat="1" applyFont="1" applyBorder="1" applyAlignment="1">
      <alignment horizontal="left" vertical="center"/>
    </xf>
    <xf numFmtId="0" fontId="10" fillId="0" borderId="65" xfId="0" quotePrefix="1" applyFont="1" applyBorder="1" applyAlignment="1">
      <alignment vertical="center"/>
    </xf>
    <xf numFmtId="0" fontId="10" fillId="0" borderId="66" xfId="0" applyFont="1" applyBorder="1" applyAlignment="1">
      <alignment horizontal="left" vertical="center"/>
    </xf>
    <xf numFmtId="0" fontId="19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65" fontId="18" fillId="0" borderId="68" xfId="0" quotePrefix="1" applyNumberFormat="1" applyFont="1" applyBorder="1" applyAlignment="1">
      <alignment horizontal="right" vertical="center"/>
    </xf>
    <xf numFmtId="165" fontId="10" fillId="0" borderId="68" xfId="0" quotePrefix="1" applyNumberFormat="1" applyFont="1" applyBorder="1" applyAlignment="1">
      <alignment horizontal="right" vertical="center"/>
    </xf>
    <xf numFmtId="165" fontId="10" fillId="0" borderId="68" xfId="0" applyNumberFormat="1" applyFont="1" applyBorder="1" applyAlignment="1">
      <alignment horizontal="left" vertical="center"/>
    </xf>
    <xf numFmtId="0" fontId="84" fillId="0" borderId="4" xfId="0" applyFont="1" applyBorder="1" applyAlignment="1">
      <alignment horizontal="center" vertical="center"/>
    </xf>
    <xf numFmtId="0" fontId="10" fillId="0" borderId="69" xfId="0" quotePrefix="1" applyFont="1" applyBorder="1" applyAlignment="1">
      <alignment vertical="center"/>
    </xf>
    <xf numFmtId="0" fontId="10" fillId="0" borderId="70" xfId="0" quotePrefix="1" applyFont="1" applyBorder="1" applyAlignment="1">
      <alignment vertical="center"/>
    </xf>
    <xf numFmtId="0" fontId="10" fillId="0" borderId="50" xfId="0" quotePrefix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5" fontId="18" fillId="0" borderId="14" xfId="0" quotePrefix="1" applyNumberFormat="1" applyFont="1" applyBorder="1" applyAlignment="1">
      <alignment horizontal="right" vertical="center"/>
    </xf>
    <xf numFmtId="165" fontId="10" fillId="0" borderId="14" xfId="0" applyNumberFormat="1" applyFont="1" applyBorder="1" applyAlignment="1">
      <alignment horizontal="right" vertical="center"/>
    </xf>
    <xf numFmtId="165" fontId="10" fillId="0" borderId="14" xfId="0" applyNumberFormat="1" applyFont="1" applyBorder="1" applyAlignment="1">
      <alignment horizontal="left" vertical="center"/>
    </xf>
    <xf numFmtId="0" fontId="45" fillId="9" borderId="4" xfId="0" applyFont="1" applyFill="1" applyBorder="1" applyAlignment="1">
      <alignment horizontal="center"/>
    </xf>
    <xf numFmtId="0" fontId="38" fillId="2" borderId="30" xfId="0" applyFont="1" applyFill="1" applyBorder="1" applyAlignment="1">
      <alignment horizontal="center" vertical="center" wrapText="1"/>
    </xf>
    <xf numFmtId="0" fontId="38" fillId="2" borderId="31" xfId="0" applyFont="1" applyFill="1" applyBorder="1" applyAlignment="1">
      <alignment horizontal="center" vertical="center" wrapText="1"/>
    </xf>
    <xf numFmtId="0" fontId="38" fillId="2" borderId="32" xfId="0" applyFont="1" applyFill="1" applyBorder="1" applyAlignment="1">
      <alignment horizontal="center" vertical="center" wrapText="1"/>
    </xf>
    <xf numFmtId="0" fontId="38" fillId="5" borderId="30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 wrapText="1"/>
    </xf>
    <xf numFmtId="0" fontId="38" fillId="5" borderId="32" xfId="0" applyFont="1" applyFill="1" applyBorder="1" applyAlignment="1">
      <alignment horizontal="center" vertical="center" wrapText="1"/>
    </xf>
    <xf numFmtId="0" fontId="71" fillId="3" borderId="0" xfId="1" applyFont="1" applyFill="1" applyAlignment="1">
      <alignment horizontal="center"/>
    </xf>
    <xf numFmtId="0" fontId="38" fillId="3" borderId="0" xfId="0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/>
    </xf>
    <xf numFmtId="0" fontId="73" fillId="3" borderId="0" xfId="0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0" fontId="81" fillId="3" borderId="0" xfId="1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3" fontId="24" fillId="8" borderId="23" xfId="0" applyNumberFormat="1" applyFont="1" applyFill="1" applyBorder="1" applyAlignment="1">
      <alignment horizontal="center" vertical="center"/>
    </xf>
    <xf numFmtId="3" fontId="24" fillId="8" borderId="26" xfId="0" applyNumberFormat="1" applyFont="1" applyFill="1" applyBorder="1" applyAlignment="1">
      <alignment horizontal="center" vertical="center"/>
    </xf>
    <xf numFmtId="164" fontId="28" fillId="8" borderId="24" xfId="0" applyNumberFormat="1" applyFont="1" applyFill="1" applyBorder="1" applyAlignment="1">
      <alignment horizontal="center" vertical="center"/>
    </xf>
    <xf numFmtId="164" fontId="28" fillId="8" borderId="16" xfId="0" applyNumberFormat="1" applyFont="1" applyFill="1" applyBorder="1" applyAlignment="1">
      <alignment horizontal="center" vertical="center"/>
    </xf>
    <xf numFmtId="164" fontId="28" fillId="8" borderId="55" xfId="0" applyNumberFormat="1" applyFont="1" applyFill="1" applyBorder="1" applyAlignment="1">
      <alignment horizontal="center" vertical="center"/>
    </xf>
    <xf numFmtId="3" fontId="29" fillId="8" borderId="23" xfId="0" applyNumberFormat="1" applyFont="1" applyFill="1" applyBorder="1" applyAlignment="1">
      <alignment horizontal="center" vertical="center" wrapText="1"/>
    </xf>
    <xf numFmtId="3" fontId="29" fillId="8" borderId="29" xfId="0" applyNumberFormat="1" applyFont="1" applyFill="1" applyBorder="1" applyAlignment="1">
      <alignment horizontal="center" vertical="center" wrapText="1"/>
    </xf>
    <xf numFmtId="3" fontId="29" fillId="8" borderId="26" xfId="0" applyNumberFormat="1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111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color rgb="FF00B050"/>
      </font>
    </dxf>
    <dxf>
      <font>
        <b/>
        <i/>
        <strike val="0"/>
      </font>
      <fill>
        <patternFill patternType="solid"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color rgb="FFFF0000"/>
      </font>
      <numFmt numFmtId="169" formatCode="0.0%"/>
    </dxf>
    <dxf>
      <font>
        <color rgb="FFFF0000"/>
      </font>
      <numFmt numFmtId="169" formatCode="0.0%"/>
    </dxf>
    <dxf>
      <numFmt numFmtId="169" formatCode="0.0%"/>
    </dxf>
    <dxf>
      <numFmt numFmtId="169" formatCode="0.0%"/>
    </dxf>
    <dxf>
      <numFmt numFmtId="169" formatCode="0.0%"/>
    </dxf>
    <dxf>
      <numFmt numFmtId="169" formatCode="0.0%"/>
    </dxf>
    <dxf>
      <numFmt numFmtId="169" formatCode="0.0%"/>
    </dxf>
    <dxf>
      <numFmt numFmtId="169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i/>
      </font>
      <numFmt numFmtId="3" formatCode="#,##0"/>
    </dxf>
    <dxf>
      <font>
        <i/>
        <color auto="1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i/>
      </font>
      <numFmt numFmtId="3" formatCode="#,##0"/>
    </dxf>
    <dxf>
      <font>
        <i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Book Antiqua"/>
        <family val="1"/>
        <scheme val="none"/>
      </font>
      <numFmt numFmtId="4" formatCode="#,##0.0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ook Antiqua"/>
        <family val="1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/>
              <a:t>Aktueller Stand</a:t>
            </a:r>
          </a:p>
          <a:p>
            <a:pPr>
              <a:defRPr/>
            </a:pPr>
            <a:r>
              <a:rPr lang="de-DE"/>
              <a:t>und Prognose</a:t>
            </a:r>
          </a:p>
        </c:rich>
      </c:tx>
      <c:layout>
        <c:manualLayout>
          <c:xMode val="edge"/>
          <c:yMode val="edge"/>
          <c:x val="3.3915804085648725E-2"/>
          <c:y val="3.791701568968821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76489625830237284"/>
        </c:manualLayout>
      </c:layout>
      <c:lineChart>
        <c:grouping val="standard"/>
        <c:varyColors val="0"/>
        <c:ser>
          <c:idx val="0"/>
          <c:order val="0"/>
          <c:tx>
            <c:v>€ Aktuelle Prognose</c:v>
          </c:tx>
          <c:spPr>
            <a:ln w="28575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0A52-48EC-BA19-7C3524606F78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A52-48EC-BA19-7C3524606F78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0A52-48EC-BA19-7C3524606F78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921-4EB0-BFD6-16238A980F2B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256-495F-8E18-6183F54FE182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CA00-49C1-9C3B-38E7C06BD64B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9A24-4AB6-B92D-984D7F5E69E4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FE-42E3-8C48-8DAF68502009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1C3-41C3-A60F-9BE03AB3E8D4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44DA-4FC4-B86B-DE6864883721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2DBA-4FE1-8030-9A73D2343135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784F-4A97-A50D-31F5C3A492D6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1DB1-4CD1-B159-CAE1CCAE2A9F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1DB1-4CD1-B159-CAE1CCAE2A9F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A3CE-4147-AD19-AA1D4EF0068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A8AA-4C8C-B073-A8918E4E5F2B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A8AA-4C8C-B073-A8918E4E5F2B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68C9-4415-9450-40E2DBEF710C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AC4B-4F1F-9788-B7761434CBCE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9C0E-40A0-BE56-105A78D3B565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FD69-4A3C-B465-1C551372D364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92E9-44F5-946D-8A216D011837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92E9-44F5-946D-8A216D011837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92E9-44F5-946D-8A216D011837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0070C0"/>
                </a:solidFill>
                <a:ln w="9525">
                  <a:solidFill>
                    <a:srgbClr val="0070C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70C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92E9-44F5-946D-8A216D011837}"/>
              </c:ext>
            </c:extLst>
          </c:dPt>
          <c:cat>
            <c:numRef>
              <c:f>'Aventuria - Mythen &amp; Legenden'!$G$81:$G$102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'Aventuria - Mythen &amp; Legenden'!$I$81:$I$102</c:f>
              <c:numCache>
                <c:formatCode>#,##0\ "€"</c:formatCode>
                <c:ptCount val="22"/>
                <c:pt idx="0">
                  <c:v>0</c:v>
                </c:pt>
                <c:pt idx="1">
                  <c:v>19612</c:v>
                </c:pt>
                <c:pt idx="2">
                  <c:v>24532</c:v>
                </c:pt>
                <c:pt idx="3">
                  <c:v>27671</c:v>
                </c:pt>
                <c:pt idx="4">
                  <c:v>30324</c:v>
                </c:pt>
                <c:pt idx="5">
                  <c:v>32621</c:v>
                </c:pt>
                <c:pt idx="6">
                  <c:v>37481</c:v>
                </c:pt>
                <c:pt idx="7">
                  <c:v>40223</c:v>
                </c:pt>
                <c:pt idx="8">
                  <c:v>43766</c:v>
                </c:pt>
                <c:pt idx="9">
                  <c:v>45971</c:v>
                </c:pt>
                <c:pt idx="10">
                  <c:v>48853</c:v>
                </c:pt>
                <c:pt idx="11">
                  <c:v>50284</c:v>
                </c:pt>
                <c:pt idx="12">
                  <c:v>54218</c:v>
                </c:pt>
                <c:pt idx="13">
                  <c:v>55585</c:v>
                </c:pt>
                <c:pt idx="14">
                  <c:v>57658</c:v>
                </c:pt>
                <c:pt idx="15">
                  <c:v>59154</c:v>
                </c:pt>
                <c:pt idx="16">
                  <c:v>61842</c:v>
                </c:pt>
                <c:pt idx="17">
                  <c:v>64258</c:v>
                </c:pt>
                <c:pt idx="18">
                  <c:v>66749</c:v>
                </c:pt>
                <c:pt idx="19">
                  <c:v>71433</c:v>
                </c:pt>
                <c:pt idx="20">
                  <c:v>78993</c:v>
                </c:pt>
                <c:pt idx="21">
                  <c:v>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2E9-44F5-946D-8A216D011837}"/>
            </c:ext>
          </c:extLst>
        </c:ser>
        <c:ser>
          <c:idx val="2"/>
          <c:order val="1"/>
          <c:tx>
            <c:v>€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'Aventuria - Mythen &amp; Legenden'!$G$81:$G$102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'Aventuria - Mythen &amp; Legenden'!$K$81:$K$102</c:f>
              <c:numCache>
                <c:formatCode>#,##0\ "€"</c:formatCode>
                <c:ptCount val="22"/>
                <c:pt idx="0">
                  <c:v>0</c:v>
                </c:pt>
                <c:pt idx="1">
                  <c:v>19612</c:v>
                </c:pt>
                <c:pt idx="2">
                  <c:v>24532</c:v>
                </c:pt>
                <c:pt idx="3">
                  <c:v>27671</c:v>
                </c:pt>
                <c:pt idx="4">
                  <c:v>30432.234365407556</c:v>
                </c:pt>
                <c:pt idx="5">
                  <c:v>32506.378361334326</c:v>
                </c:pt>
                <c:pt idx="6">
                  <c:v>33608.619352187576</c:v>
                </c:pt>
                <c:pt idx="7">
                  <c:v>36197.678847491043</c:v>
                </c:pt>
                <c:pt idx="8">
                  <c:v>40218.847075435959</c:v>
                </c:pt>
                <c:pt idx="9">
                  <c:v>42132.079977807516</c:v>
                </c:pt>
                <c:pt idx="10">
                  <c:v>48116.363547126108</c:v>
                </c:pt>
                <c:pt idx="11">
                  <c:v>53130.353222306723</c:v>
                </c:pt>
                <c:pt idx="12">
                  <c:v>56803.953488172381</c:v>
                </c:pt>
                <c:pt idx="13">
                  <c:v>57959.295139898844</c:v>
                </c:pt>
                <c:pt idx="14">
                  <c:v>59306.120992956021</c:v>
                </c:pt>
                <c:pt idx="15">
                  <c:v>62299.067333083098</c:v>
                </c:pt>
                <c:pt idx="16">
                  <c:v>65317.759448179007</c:v>
                </c:pt>
                <c:pt idx="17">
                  <c:v>68153.012916621956</c:v>
                </c:pt>
                <c:pt idx="18">
                  <c:v>72372.101789639797</c:v>
                </c:pt>
                <c:pt idx="19">
                  <c:v>77062.660166774425</c:v>
                </c:pt>
                <c:pt idx="20">
                  <c:v>85166.142838215237</c:v>
                </c:pt>
                <c:pt idx="21">
                  <c:v>97609.397702840331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2E9-44F5-946D-8A216D011837}"/>
            </c:ext>
          </c:extLst>
        </c:ser>
        <c:ser>
          <c:idx val="3"/>
          <c:order val="2"/>
          <c:tx>
            <c:v>€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'Aventuria - Mythen &amp; Legenden'!$G$81:$G$102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'Aventuria - Mythen &amp; Legenden'!$J$81:$J$102</c:f>
              <c:numCache>
                <c:formatCode>#,##0\ "€"</c:formatCode>
                <c:ptCount val="22"/>
                <c:pt idx="0">
                  <c:v>0</c:v>
                </c:pt>
                <c:pt idx="1">
                  <c:v>19612</c:v>
                </c:pt>
                <c:pt idx="2">
                  <c:v>24532</c:v>
                </c:pt>
                <c:pt idx="3">
                  <c:v>27671</c:v>
                </c:pt>
                <c:pt idx="4">
                  <c:v>29701.246262459652</c:v>
                </c:pt>
                <c:pt idx="5">
                  <c:v>30756.893939673908</c:v>
                </c:pt>
                <c:pt idx="6">
                  <c:v>31437.773294932977</c:v>
                </c:pt>
                <c:pt idx="7">
                  <c:v>32936.511669150554</c:v>
                </c:pt>
                <c:pt idx="8">
                  <c:v>33994.838655190229</c:v>
                </c:pt>
                <c:pt idx="9">
                  <c:v>35272.199137707736</c:v>
                </c:pt>
                <c:pt idx="10">
                  <c:v>36856.340480735475</c:v>
                </c:pt>
                <c:pt idx="11">
                  <c:v>37437.415582247762</c:v>
                </c:pt>
                <c:pt idx="12">
                  <c:v>38472.968443271391</c:v>
                </c:pt>
                <c:pt idx="13">
                  <c:v>39446.897201310436</c:v>
                </c:pt>
                <c:pt idx="14">
                  <c:v>40802.292553368206</c:v>
                </c:pt>
                <c:pt idx="15">
                  <c:v>42261.511122410884</c:v>
                </c:pt>
                <c:pt idx="16">
                  <c:v>44266.303951029076</c:v>
                </c:pt>
                <c:pt idx="17">
                  <c:v>46307.602362393576</c:v>
                </c:pt>
                <c:pt idx="18">
                  <c:v>48274.549953852751</c:v>
                </c:pt>
                <c:pt idx="19">
                  <c:v>50994.718238857255</c:v>
                </c:pt>
                <c:pt idx="20">
                  <c:v>53266.102295604425</c:v>
                </c:pt>
                <c:pt idx="21">
                  <c:v>66735.322674578318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2E9-44F5-946D-8A216D011837}"/>
            </c:ext>
          </c:extLst>
        </c:ser>
        <c:ser>
          <c:idx val="1"/>
          <c:order val="3"/>
          <c:tx>
            <c:v>€ Nedime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'Aventuria - Mythen &amp; Legenden'!$G$81:$G$102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'Aventuria - Mythen &amp; Legenden'!$L$81:$L$102</c:f>
              <c:numCache>
                <c:formatCode>#,##0\ "€"</c:formatCode>
                <c:ptCount val="22"/>
                <c:pt idx="0" formatCode="General">
                  <c:v>0</c:v>
                </c:pt>
                <c:pt idx="1">
                  <c:v>14771</c:v>
                </c:pt>
                <c:pt idx="2">
                  <c:v>16764</c:v>
                </c:pt>
                <c:pt idx="3">
                  <c:v>17674</c:v>
                </c:pt>
                <c:pt idx="4">
                  <c:v>18881</c:v>
                </c:pt>
                <c:pt idx="5">
                  <c:v>21886</c:v>
                </c:pt>
                <c:pt idx="6">
                  <c:v>22571</c:v>
                </c:pt>
                <c:pt idx="7">
                  <c:v>24180</c:v>
                </c:pt>
                <c:pt idx="8">
                  <c:v>26679</c:v>
                </c:pt>
                <c:pt idx="9">
                  <c:v>27868</c:v>
                </c:pt>
                <c:pt idx="10">
                  <c:v>31587</c:v>
                </c:pt>
                <c:pt idx="11">
                  <c:v>34703</c:v>
                </c:pt>
                <c:pt idx="12">
                  <c:v>36986</c:v>
                </c:pt>
                <c:pt idx="13">
                  <c:v>37704</c:v>
                </c:pt>
                <c:pt idx="14">
                  <c:v>38541</c:v>
                </c:pt>
                <c:pt idx="15">
                  <c:v>40401</c:v>
                </c:pt>
                <c:pt idx="16">
                  <c:v>42277</c:v>
                </c:pt>
                <c:pt idx="17">
                  <c:v>44039</c:v>
                </c:pt>
                <c:pt idx="18">
                  <c:v>46661</c:v>
                </c:pt>
                <c:pt idx="19">
                  <c:v>49576</c:v>
                </c:pt>
                <c:pt idx="20">
                  <c:v>54612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52-48EC-BA19-7C3524606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\ &quot;T€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5000"/>
        <c:minorUnit val="5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617625818038092"/>
          <c:y val="2.8424345044039866E-2"/>
          <c:w val="0.74354687929737517"/>
          <c:h val="4.4976190491006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'Aventuria - Mythen &amp; Legenden'!$AQ$105</c:f>
              <c:strCache>
                <c:ptCount val="1"/>
                <c:pt idx="0">
                  <c:v>AML (€/kum)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Legenden'!$AQ$106:$AQ$123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'Aventuria - Mythen &amp; Legenden'!$AO$106:$AO$123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5AD-4B0F-940D-184573DF9252}"/>
            </c:ext>
          </c:extLst>
        </c:ser>
        <c:ser>
          <c:idx val="3"/>
          <c:order val="1"/>
          <c:tx>
            <c:strRef>
              <c:f>'Aventuria - Mythen &amp; Legenden'!$AS$105</c:f>
              <c:strCache>
                <c:ptCount val="1"/>
                <c:pt idx="0">
                  <c:v>AML (B/kum)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Legenden'!$AS$106:$AS$123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'Aventuria - Mythen &amp; Legenden'!$AO$106:$AO$123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5AD-4B0F-940D-184573DF9252}"/>
            </c:ext>
          </c:extLst>
        </c:ser>
        <c:ser>
          <c:idx val="5"/>
          <c:order val="2"/>
          <c:tx>
            <c:strRef>
              <c:f>'Aventuria - Mythen &amp; Legenden'!$AU$105</c:f>
              <c:strCache>
                <c:ptCount val="1"/>
                <c:pt idx="0">
                  <c:v>DSK (€/kum)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Legenden'!$AU$106:$AU$123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'Aventuria - Mythen &amp; Legenden'!$AO$106:$AO$123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85AD-4B0F-940D-184573DF9252}"/>
            </c:ext>
          </c:extLst>
        </c:ser>
        <c:ser>
          <c:idx val="7"/>
          <c:order val="3"/>
          <c:tx>
            <c:strRef>
              <c:f>'Aventuria - Mythen &amp; Legenden'!$AW$105</c:f>
              <c:strCache>
                <c:ptCount val="1"/>
                <c:pt idx="0">
                  <c:v>DSK (B/kum)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Legenden'!$AW$106:$AW$123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'Aventuria - Mythen &amp; Legenden'!$AO$106:$AO$123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85AD-4B0F-940D-184573DF9252}"/>
            </c:ext>
          </c:extLst>
        </c:ser>
        <c:ser>
          <c:idx val="9"/>
          <c:order val="4"/>
          <c:tx>
            <c:strRef>
              <c:f>'Aventuria - Mythen &amp; Legenden'!$AY$105</c:f>
              <c:strCache>
                <c:ptCount val="1"/>
                <c:pt idx="0">
                  <c:v>WM (€/kum)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Legenden'!$AY$106:$AY$123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'Aventuria - Mythen &amp; Legenden'!$AO$106:$AO$123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85AD-4B0F-940D-184573DF9252}"/>
            </c:ext>
          </c:extLst>
        </c:ser>
        <c:ser>
          <c:idx val="11"/>
          <c:order val="5"/>
          <c:tx>
            <c:strRef>
              <c:f>'Aventuria - Mythen &amp; Legenden'!$BA$105</c:f>
              <c:strCache>
                <c:ptCount val="1"/>
                <c:pt idx="0">
                  <c:v>WM (B/kum)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Legenden'!$BA$106:$BA$123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'Aventuria - Mythen &amp; Legenden'!$AO$106:$AO$123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85AD-4B0F-940D-184573DF9252}"/>
            </c:ext>
          </c:extLst>
        </c:ser>
        <c:ser>
          <c:idx val="14"/>
          <c:order val="6"/>
          <c:tx>
            <c:strRef>
              <c:f>'Aventuria - Mythen &amp; Legenden'!$BD$105</c:f>
              <c:strCache>
                <c:ptCount val="1"/>
                <c:pt idx="0">
                  <c:v>ANB (€/kum)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Legenden'!$BD$106:$BD$123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'Aventuria - Mythen &amp; Legenden'!$AO$106:$AO$123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E-85AD-4B0F-940D-184573DF9252}"/>
            </c:ext>
          </c:extLst>
        </c:ser>
        <c:ser>
          <c:idx val="0"/>
          <c:order val="7"/>
          <c:tx>
            <c:strRef>
              <c:f>'Aventuria - Mythen &amp; Legenden'!$BF$105</c:f>
              <c:strCache>
                <c:ptCount val="1"/>
                <c:pt idx="0">
                  <c:v>ANB (B/kum)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'Aventuria - Mythen &amp; Legenden'!$BF$106:$BF$123</c:f>
            </c:numRef>
          </c:val>
          <c:smooth val="0"/>
          <c:extLst>
            <c:ext xmlns:c16="http://schemas.microsoft.com/office/drawing/2014/chart" uri="{C3380CC4-5D6E-409C-BE32-E72D297353CC}">
              <c16:uniqueId val="{00000011-85AD-4B0F-940D-184573DF9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804584"/>
        <c:axId val="721798024"/>
      </c:lineChart>
      <c:catAx>
        <c:axId val="72180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798024"/>
        <c:crosses val="autoZero"/>
        <c:auto val="1"/>
        <c:lblAlgn val="ctr"/>
        <c:lblOffset val="100"/>
        <c:noMultiLvlLbl val="0"/>
      </c:catAx>
      <c:valAx>
        <c:axId val="721798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80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Vergleich!$C$2</c:f>
              <c:strCache>
                <c:ptCount val="1"/>
                <c:pt idx="0">
                  <c:v>Nedime (€)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Vergleich!$C$3:$C$24</c:f>
              <c:numCache>
                <c:formatCode>#,##0</c:formatCode>
                <c:ptCount val="22"/>
                <c:pt idx="0">
                  <c:v>0</c:v>
                </c:pt>
                <c:pt idx="1">
                  <c:v>14771</c:v>
                </c:pt>
                <c:pt idx="2">
                  <c:v>16764</c:v>
                </c:pt>
                <c:pt idx="3">
                  <c:v>17674</c:v>
                </c:pt>
                <c:pt idx="4">
                  <c:v>18881</c:v>
                </c:pt>
                <c:pt idx="5">
                  <c:v>21886</c:v>
                </c:pt>
                <c:pt idx="6">
                  <c:v>22571</c:v>
                </c:pt>
                <c:pt idx="7">
                  <c:v>24180</c:v>
                </c:pt>
                <c:pt idx="8">
                  <c:v>26679</c:v>
                </c:pt>
                <c:pt idx="9">
                  <c:v>27868</c:v>
                </c:pt>
                <c:pt idx="10">
                  <c:v>31587</c:v>
                </c:pt>
                <c:pt idx="11">
                  <c:v>34703</c:v>
                </c:pt>
                <c:pt idx="12">
                  <c:v>36986</c:v>
                </c:pt>
                <c:pt idx="13">
                  <c:v>37704</c:v>
                </c:pt>
                <c:pt idx="14">
                  <c:v>38541</c:v>
                </c:pt>
                <c:pt idx="15">
                  <c:v>40401</c:v>
                </c:pt>
                <c:pt idx="16">
                  <c:v>42277</c:v>
                </c:pt>
                <c:pt idx="17">
                  <c:v>44039</c:v>
                </c:pt>
                <c:pt idx="18">
                  <c:v>46661</c:v>
                </c:pt>
                <c:pt idx="19">
                  <c:v>49576</c:v>
                </c:pt>
                <c:pt idx="20">
                  <c:v>54612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1-40A9-B8C8-DD6E3F7C80B9}"/>
            </c:ext>
          </c:extLst>
        </c:ser>
        <c:ser>
          <c:idx val="3"/>
          <c:order val="2"/>
          <c:tx>
            <c:strRef>
              <c:f>Vergleich!$E$2</c:f>
              <c:strCache>
                <c:ptCount val="1"/>
                <c:pt idx="0">
                  <c:v>Thorwal norm (€)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Vergleich!$E$3:$E$24</c:f>
              <c:numCache>
                <c:formatCode>#,##0</c:formatCode>
                <c:ptCount val="22"/>
                <c:pt idx="0">
                  <c:v>0</c:v>
                </c:pt>
                <c:pt idx="1">
                  <c:v>15220.890095815445</c:v>
                </c:pt>
                <c:pt idx="2">
                  <c:v>16625.895335429177</c:v>
                </c:pt>
                <c:pt idx="3">
                  <c:v>18030.90057504291</c:v>
                </c:pt>
                <c:pt idx="4">
                  <c:v>19435.905814656642</c:v>
                </c:pt>
                <c:pt idx="5">
                  <c:v>20840.911054270375</c:v>
                </c:pt>
                <c:pt idx="6">
                  <c:v>22245.916293884107</c:v>
                </c:pt>
                <c:pt idx="7">
                  <c:v>23650.92153349784</c:v>
                </c:pt>
                <c:pt idx="8">
                  <c:v>25055.926773111572</c:v>
                </c:pt>
                <c:pt idx="9">
                  <c:v>26460.932012725305</c:v>
                </c:pt>
                <c:pt idx="10">
                  <c:v>27865.937252339038</c:v>
                </c:pt>
                <c:pt idx="11">
                  <c:v>29270.942491952781</c:v>
                </c:pt>
                <c:pt idx="12">
                  <c:v>32578.348242757504</c:v>
                </c:pt>
                <c:pt idx="13">
                  <c:v>35885.753993562226</c:v>
                </c:pt>
                <c:pt idx="14">
                  <c:v>39193.159744366945</c:v>
                </c:pt>
                <c:pt idx="15">
                  <c:v>42500.565495171664</c:v>
                </c:pt>
                <c:pt idx="16">
                  <c:v>45807.971245976383</c:v>
                </c:pt>
                <c:pt idx="17">
                  <c:v>49115.376996781102</c:v>
                </c:pt>
                <c:pt idx="18">
                  <c:v>52422.782747585821</c:v>
                </c:pt>
                <c:pt idx="19">
                  <c:v>55730.18849839054</c:v>
                </c:pt>
                <c:pt idx="20">
                  <c:v>59037.594249195259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1-40A9-B8C8-DD6E3F7C80B9}"/>
            </c:ext>
          </c:extLst>
        </c:ser>
        <c:ser>
          <c:idx val="5"/>
          <c:order val="4"/>
          <c:tx>
            <c:strRef>
              <c:f>Vergleich!$G$2</c:f>
              <c:strCache>
                <c:ptCount val="1"/>
                <c:pt idx="0">
                  <c:v>Werkzeuge norm (€)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Vergleich!$G$3:$G$24</c:f>
              <c:numCache>
                <c:formatCode>#,##0</c:formatCode>
                <c:ptCount val="22"/>
                <c:pt idx="0">
                  <c:v>0</c:v>
                </c:pt>
                <c:pt idx="1">
                  <c:v>15879.347283058034</c:v>
                </c:pt>
                <c:pt idx="2">
                  <c:v>18103.852387402443</c:v>
                </c:pt>
                <c:pt idx="3">
                  <c:v>19704.691804316852</c:v>
                </c:pt>
                <c:pt idx="4">
                  <c:v>21920.78875461033</c:v>
                </c:pt>
                <c:pt idx="5">
                  <c:v>23073.071431503275</c:v>
                </c:pt>
                <c:pt idx="6">
                  <c:v>23816.279135222616</c:v>
                </c:pt>
                <c:pt idx="7">
                  <c:v>25452.213456001784</c:v>
                </c:pt>
                <c:pt idx="8">
                  <c:v>26607.420708216792</c:v>
                </c:pt>
                <c:pt idx="9">
                  <c:v>28001.711993010478</c:v>
                </c:pt>
                <c:pt idx="10">
                  <c:v>29730.867152180414</c:v>
                </c:pt>
                <c:pt idx="11">
                  <c:v>30365.134425152894</c:v>
                </c:pt>
                <c:pt idx="12">
                  <c:v>31495.482787130364</c:v>
                </c:pt>
                <c:pt idx="13">
                  <c:v>32558.56591670038</c:v>
                </c:pt>
                <c:pt idx="14">
                  <c:v>34038.035457749167</c:v>
                </c:pt>
                <c:pt idx="15">
                  <c:v>35630.832292527899</c:v>
                </c:pt>
                <c:pt idx="16">
                  <c:v>37819.145777261772</c:v>
                </c:pt>
                <c:pt idx="17">
                  <c:v>40047.306600758762</c:v>
                </c:pt>
                <c:pt idx="18">
                  <c:v>42194.310459068496</c:v>
                </c:pt>
                <c:pt idx="19">
                  <c:v>45163.485554793275</c:v>
                </c:pt>
                <c:pt idx="20">
                  <c:v>47642.79428407245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51-40A9-B8C8-DD6E3F7C80B9}"/>
            </c:ext>
          </c:extLst>
        </c:ser>
        <c:ser>
          <c:idx val="0"/>
          <c:order val="6"/>
          <c:tx>
            <c:strRef>
              <c:f>Vergleich!$I$2</c:f>
              <c:strCache>
                <c:ptCount val="1"/>
                <c:pt idx="0">
                  <c:v>Mythos norm (€)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Vergleich!$I$3:$I$24</c:f>
              <c:numCache>
                <c:formatCode>#,##0</c:formatCode>
                <c:ptCount val="22"/>
                <c:pt idx="0">
                  <c:v>0</c:v>
                </c:pt>
                <c:pt idx="1">
                  <c:v>8008.0810450070085</c:v>
                </c:pt>
                <c:pt idx="2">
                  <c:v>16016.162090014017</c:v>
                </c:pt>
                <c:pt idx="3">
                  <c:v>24024.243135021028</c:v>
                </c:pt>
                <c:pt idx="4">
                  <c:v>26153.174071964302</c:v>
                </c:pt>
                <c:pt idx="5">
                  <c:v>28282.10500890758</c:v>
                </c:pt>
                <c:pt idx="6">
                  <c:v>30411.035945850857</c:v>
                </c:pt>
                <c:pt idx="7">
                  <c:v>32539.966882794135</c:v>
                </c:pt>
                <c:pt idx="8">
                  <c:v>34668.897819737409</c:v>
                </c:pt>
                <c:pt idx="9">
                  <c:v>36797.828756680683</c:v>
                </c:pt>
                <c:pt idx="10">
                  <c:v>38926.759693623957</c:v>
                </c:pt>
                <c:pt idx="11">
                  <c:v>41055.690630567231</c:v>
                </c:pt>
                <c:pt idx="12">
                  <c:v>43184.621567510505</c:v>
                </c:pt>
                <c:pt idx="13">
                  <c:v>45313.552504453779</c:v>
                </c:pt>
                <c:pt idx="14">
                  <c:v>47442.483441397053</c:v>
                </c:pt>
                <c:pt idx="15">
                  <c:v>49571.414378340327</c:v>
                </c:pt>
                <c:pt idx="16">
                  <c:v>51700.345315283601</c:v>
                </c:pt>
                <c:pt idx="17">
                  <c:v>53829.276252226875</c:v>
                </c:pt>
                <c:pt idx="18">
                  <c:v>55958.207189170149</c:v>
                </c:pt>
                <c:pt idx="19">
                  <c:v>58087.138126113423</c:v>
                </c:pt>
                <c:pt idx="20">
                  <c:v>60216.069063056697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51-40A9-B8C8-DD6E3F7C80B9}"/>
            </c:ext>
          </c:extLst>
        </c:ser>
        <c:ser>
          <c:idx val="8"/>
          <c:order val="9"/>
          <c:tx>
            <c:strRef>
              <c:f>Vergleich!$K$2</c:f>
              <c:strCache>
                <c:ptCount val="1"/>
                <c:pt idx="0">
                  <c:v>DSK norm (€)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Vergleich!$K$3:$K$24</c:f>
              <c:numCache>
                <c:formatCode>#,##0</c:formatCode>
                <c:ptCount val="22"/>
                <c:pt idx="0">
                  <c:v>0</c:v>
                </c:pt>
                <c:pt idx="1">
                  <c:v>18321.783592211064</c:v>
                </c:pt>
                <c:pt idx="2">
                  <c:v>21471.044620079439</c:v>
                </c:pt>
                <c:pt idx="3">
                  <c:v>22786.717998191623</c:v>
                </c:pt>
                <c:pt idx="4">
                  <c:v>24137.623639680951</c:v>
                </c:pt>
                <c:pt idx="5">
                  <c:v>25549.934083056156</c:v>
                </c:pt>
                <c:pt idx="6">
                  <c:v>27093.107218975038</c:v>
                </c:pt>
                <c:pt idx="7">
                  <c:v>28176.247658798078</c:v>
                </c:pt>
                <c:pt idx="8">
                  <c:v>29592.58464655924</c:v>
                </c:pt>
                <c:pt idx="9">
                  <c:v>31860.032453902542</c:v>
                </c:pt>
                <c:pt idx="10">
                  <c:v>33546.147915522975</c:v>
                </c:pt>
                <c:pt idx="11">
                  <c:v>35065.161785126103</c:v>
                </c:pt>
                <c:pt idx="12">
                  <c:v>35879.530387186358</c:v>
                </c:pt>
                <c:pt idx="13">
                  <c:v>37285.297695934387</c:v>
                </c:pt>
                <c:pt idx="14">
                  <c:v>37955.717336196598</c:v>
                </c:pt>
                <c:pt idx="15">
                  <c:v>38763.542803629673</c:v>
                </c:pt>
                <c:pt idx="16">
                  <c:v>40290.106443956465</c:v>
                </c:pt>
                <c:pt idx="17">
                  <c:v>43704.616083249915</c:v>
                </c:pt>
                <c:pt idx="18">
                  <c:v>46292.174169276972</c:v>
                </c:pt>
                <c:pt idx="19">
                  <c:v>50920.686940937128</c:v>
                </c:pt>
                <c:pt idx="20">
                  <c:v>54792.209368036936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251-40A9-B8C8-DD6E3F7C80B9}"/>
            </c:ext>
          </c:extLst>
        </c:ser>
        <c:ser>
          <c:idx val="10"/>
          <c:order val="10"/>
          <c:tx>
            <c:strRef>
              <c:f>Vergleich!$M$2</c:f>
              <c:strCache>
                <c:ptCount val="1"/>
                <c:pt idx="0">
                  <c:v>Mythen norm (€)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Vergleich!$M$3:$M$24</c:f>
              <c:numCache>
                <c:formatCode>#,##0</c:formatCode>
                <c:ptCount val="22"/>
                <c:pt idx="0">
                  <c:v>0</c:v>
                </c:pt>
                <c:pt idx="1">
                  <c:v>13585.517272030311</c:v>
                </c:pt>
                <c:pt idx="2">
                  <c:v>16993.672736969591</c:v>
                </c:pt>
                <c:pt idx="3">
                  <c:v>19168.103632181865</c:v>
                </c:pt>
                <c:pt idx="4">
                  <c:v>21005.875268052576</c:v>
                </c:pt>
                <c:pt idx="5">
                  <c:v>22597.040532882966</c:v>
                </c:pt>
                <c:pt idx="6">
                  <c:v>25963.633126298595</c:v>
                </c:pt>
                <c:pt idx="7">
                  <c:v>27863.056354929391</c:v>
                </c:pt>
                <c:pt idx="8">
                  <c:v>30317.343918400908</c:v>
                </c:pt>
                <c:pt idx="9">
                  <c:v>31844.779446895034</c:v>
                </c:pt>
                <c:pt idx="10">
                  <c:v>33841.182709081011</c:v>
                </c:pt>
                <c:pt idx="11">
                  <c:v>34832.457194920054</c:v>
                </c:pt>
                <c:pt idx="12">
                  <c:v>37557.596137820692</c:v>
                </c:pt>
                <c:pt idx="13">
                  <c:v>38504.536894034507</c:v>
                </c:pt>
                <c:pt idx="14">
                  <c:v>39940.534105176608</c:v>
                </c:pt>
                <c:pt idx="15">
                  <c:v>40976.835035166274</c:v>
                </c:pt>
                <c:pt idx="16">
                  <c:v>42838.851679425781</c:v>
                </c:pt>
                <c:pt idx="17">
                  <c:v>44512.449972778079</c:v>
                </c:pt>
                <c:pt idx="18">
                  <c:v>46238.001855534945</c:v>
                </c:pt>
                <c:pt idx="19">
                  <c:v>49482.676692481196</c:v>
                </c:pt>
                <c:pt idx="20">
                  <c:v>54719.598504461064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4-487C-B806-F0C4AB4B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44864"/>
        <c:axId val="502641912"/>
      </c:lineChart>
      <c:lineChart>
        <c:grouping val="standard"/>
        <c:varyColors val="0"/>
        <c:ser>
          <c:idx val="2"/>
          <c:order val="1"/>
          <c:tx>
            <c:strRef>
              <c:f>Vergleich!$D$2</c:f>
              <c:strCache>
                <c:ptCount val="1"/>
                <c:pt idx="0">
                  <c:v>Nedime (Backer)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Vergleich!$D$3:$D$24</c:f>
              <c:numCache>
                <c:formatCode>#,##0</c:formatCode>
                <c:ptCount val="22"/>
                <c:pt idx="0">
                  <c:v>0</c:v>
                </c:pt>
                <c:pt idx="1">
                  <c:v>73</c:v>
                </c:pt>
                <c:pt idx="2">
                  <c:v>82</c:v>
                </c:pt>
                <c:pt idx="3">
                  <c:v>90</c:v>
                </c:pt>
                <c:pt idx="4">
                  <c:v>95</c:v>
                </c:pt>
                <c:pt idx="5">
                  <c:v>111</c:v>
                </c:pt>
                <c:pt idx="6">
                  <c:v>114.99999999999999</c:v>
                </c:pt>
                <c:pt idx="7">
                  <c:v>124</c:v>
                </c:pt>
                <c:pt idx="8">
                  <c:v>136</c:v>
                </c:pt>
                <c:pt idx="9">
                  <c:v>142</c:v>
                </c:pt>
                <c:pt idx="10">
                  <c:v>161</c:v>
                </c:pt>
                <c:pt idx="11">
                  <c:v>178</c:v>
                </c:pt>
                <c:pt idx="12">
                  <c:v>193</c:v>
                </c:pt>
                <c:pt idx="13">
                  <c:v>197</c:v>
                </c:pt>
                <c:pt idx="14">
                  <c:v>205</c:v>
                </c:pt>
                <c:pt idx="15">
                  <c:v>214</c:v>
                </c:pt>
                <c:pt idx="16">
                  <c:v>224</c:v>
                </c:pt>
                <c:pt idx="17">
                  <c:v>233</c:v>
                </c:pt>
                <c:pt idx="18">
                  <c:v>250</c:v>
                </c:pt>
                <c:pt idx="19">
                  <c:v>267</c:v>
                </c:pt>
                <c:pt idx="20">
                  <c:v>300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51-40A9-B8C8-DD6E3F7C80B9}"/>
            </c:ext>
          </c:extLst>
        </c:ser>
        <c:ser>
          <c:idx val="4"/>
          <c:order val="3"/>
          <c:tx>
            <c:strRef>
              <c:f>Vergleich!$F$2</c:f>
              <c:strCache>
                <c:ptCount val="1"/>
                <c:pt idx="0">
                  <c:v>Thorwal norm (Backer)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Vergleich!$F$3:$F$24</c:f>
              <c:numCache>
                <c:formatCode>#,##0</c:formatCode>
                <c:ptCount val="22"/>
                <c:pt idx="0">
                  <c:v>0</c:v>
                </c:pt>
                <c:pt idx="1">
                  <c:v>110.36895674300254</c:v>
                </c:pt>
                <c:pt idx="2">
                  <c:v>119.19847328244275</c:v>
                </c:pt>
                <c:pt idx="3">
                  <c:v>128.02798982188295</c:v>
                </c:pt>
                <c:pt idx="4">
                  <c:v>136.85750636132315</c:v>
                </c:pt>
                <c:pt idx="5">
                  <c:v>145.68702290076334</c:v>
                </c:pt>
                <c:pt idx="6">
                  <c:v>154.51653944020353</c:v>
                </c:pt>
                <c:pt idx="7">
                  <c:v>163.34605597964372</c:v>
                </c:pt>
                <c:pt idx="8">
                  <c:v>172.17557251908391</c:v>
                </c:pt>
                <c:pt idx="9">
                  <c:v>181.00508905852411</c:v>
                </c:pt>
                <c:pt idx="10">
                  <c:v>189.8346055979643</c:v>
                </c:pt>
                <c:pt idx="11">
                  <c:v>198.66412213740458</c:v>
                </c:pt>
                <c:pt idx="12">
                  <c:v>213.4977099236641</c:v>
                </c:pt>
                <c:pt idx="13">
                  <c:v>228.33129770992366</c:v>
                </c:pt>
                <c:pt idx="14">
                  <c:v>243.16488549618322</c:v>
                </c:pt>
                <c:pt idx="15">
                  <c:v>257.99847328244277</c:v>
                </c:pt>
                <c:pt idx="16">
                  <c:v>272.83206106870233</c:v>
                </c:pt>
                <c:pt idx="17">
                  <c:v>287.66564885496189</c:v>
                </c:pt>
                <c:pt idx="18">
                  <c:v>302.49923664122144</c:v>
                </c:pt>
                <c:pt idx="19">
                  <c:v>317.332824427481</c:v>
                </c:pt>
                <c:pt idx="20">
                  <c:v>332.16641221374056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51-40A9-B8C8-DD6E3F7C80B9}"/>
            </c:ext>
          </c:extLst>
        </c:ser>
        <c:ser>
          <c:idx val="6"/>
          <c:order val="5"/>
          <c:tx>
            <c:strRef>
              <c:f>Vergleich!$H$2</c:f>
              <c:strCache>
                <c:ptCount val="1"/>
                <c:pt idx="0">
                  <c:v>Werkzeuge norm (Backer)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Vergleich!$H$3:$H$24</c:f>
              <c:numCache>
                <c:formatCode>#,##0</c:formatCode>
                <c:ptCount val="22"/>
                <c:pt idx="0">
                  <c:v>0</c:v>
                </c:pt>
                <c:pt idx="1">
                  <c:v>82.160052910052912</c:v>
                </c:pt>
                <c:pt idx="2">
                  <c:v>94.55291005291005</c:v>
                </c:pt>
                <c:pt idx="3">
                  <c:v>102.81481481481481</c:v>
                </c:pt>
                <c:pt idx="4">
                  <c:v>113.37169312169313</c:v>
                </c:pt>
                <c:pt idx="5">
                  <c:v>121.17460317460316</c:v>
                </c:pt>
                <c:pt idx="6">
                  <c:v>125.76455026455027</c:v>
                </c:pt>
                <c:pt idx="7">
                  <c:v>135.40343915343917</c:v>
                </c:pt>
                <c:pt idx="8">
                  <c:v>141.37037037037035</c:v>
                </c:pt>
                <c:pt idx="9">
                  <c:v>151.00925925925927</c:v>
                </c:pt>
                <c:pt idx="10">
                  <c:v>160.64814814814815</c:v>
                </c:pt>
                <c:pt idx="11">
                  <c:v>163.40211640211641</c:v>
                </c:pt>
                <c:pt idx="12">
                  <c:v>170.28703703703704</c:v>
                </c:pt>
                <c:pt idx="13">
                  <c:v>177.17195767195767</c:v>
                </c:pt>
                <c:pt idx="14">
                  <c:v>184.97486772486772</c:v>
                </c:pt>
                <c:pt idx="15">
                  <c:v>193.69576719576722</c:v>
                </c:pt>
                <c:pt idx="16">
                  <c:v>204.25264550264549</c:v>
                </c:pt>
                <c:pt idx="17">
                  <c:v>216.18650793650795</c:v>
                </c:pt>
                <c:pt idx="18">
                  <c:v>229.95634920634919</c:v>
                </c:pt>
                <c:pt idx="19">
                  <c:v>246.48015873015873</c:v>
                </c:pt>
                <c:pt idx="20">
                  <c:v>264.38095238095235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51-40A9-B8C8-DD6E3F7C80B9}"/>
            </c:ext>
          </c:extLst>
        </c:ser>
        <c:ser>
          <c:idx val="7"/>
          <c:order val="7"/>
          <c:tx>
            <c:strRef>
              <c:f>Vergleich!$J$2</c:f>
              <c:strCache>
                <c:ptCount val="1"/>
                <c:pt idx="0">
                  <c:v>Mythos norm (Backer)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Vergleich!$J$3:$J$24</c:f>
              <c:numCache>
                <c:formatCode>#,##0</c:formatCode>
                <c:ptCount val="22"/>
                <c:pt idx="0">
                  <c:v>0</c:v>
                </c:pt>
                <c:pt idx="1">
                  <c:v>48.804500703234879</c:v>
                </c:pt>
                <c:pt idx="2">
                  <c:v>97.609001406469758</c:v>
                </c:pt>
                <c:pt idx="3">
                  <c:v>146.41350210970464</c:v>
                </c:pt>
                <c:pt idx="4">
                  <c:v>157.55719643694326</c:v>
                </c:pt>
                <c:pt idx="5">
                  <c:v>168.70089076418188</c:v>
                </c:pt>
                <c:pt idx="6">
                  <c:v>179.84458509142053</c:v>
                </c:pt>
                <c:pt idx="7">
                  <c:v>190.98827941865915</c:v>
                </c:pt>
                <c:pt idx="8">
                  <c:v>202.13197374589777</c:v>
                </c:pt>
                <c:pt idx="9">
                  <c:v>213.27566807313639</c:v>
                </c:pt>
                <c:pt idx="10">
                  <c:v>224.41936240037501</c:v>
                </c:pt>
                <c:pt idx="11">
                  <c:v>235.56305672761363</c:v>
                </c:pt>
                <c:pt idx="12">
                  <c:v>246.70675105485225</c:v>
                </c:pt>
                <c:pt idx="13">
                  <c:v>257.85044538209087</c:v>
                </c:pt>
                <c:pt idx="14">
                  <c:v>268.99413970932949</c:v>
                </c:pt>
                <c:pt idx="15">
                  <c:v>280.13783403656817</c:v>
                </c:pt>
                <c:pt idx="16">
                  <c:v>291.28152836380679</c:v>
                </c:pt>
                <c:pt idx="17">
                  <c:v>302.42522269104546</c:v>
                </c:pt>
                <c:pt idx="18">
                  <c:v>313.56891701828408</c:v>
                </c:pt>
                <c:pt idx="19">
                  <c:v>324.71261134552276</c:v>
                </c:pt>
                <c:pt idx="20">
                  <c:v>335.85630567276144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1-40A9-B8C8-DD6E3F7C80B9}"/>
            </c:ext>
          </c:extLst>
        </c:ser>
        <c:ser>
          <c:idx val="9"/>
          <c:order val="8"/>
          <c:tx>
            <c:strRef>
              <c:f>Vergleich!$L$2</c:f>
              <c:strCache>
                <c:ptCount val="1"/>
                <c:pt idx="0">
                  <c:v>DSK norm (Backer)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Vergleich!$L$3:$L$24</c:f>
              <c:numCache>
                <c:formatCode>#,##0</c:formatCode>
                <c:ptCount val="22"/>
                <c:pt idx="0">
                  <c:v>0</c:v>
                </c:pt>
                <c:pt idx="1">
                  <c:v>103.14786585365853</c:v>
                </c:pt>
                <c:pt idx="2">
                  <c:v>123.24847560975608</c:v>
                </c:pt>
                <c:pt idx="3">
                  <c:v>131.1829268292683</c:v>
                </c:pt>
                <c:pt idx="4">
                  <c:v>139.64634146341464</c:v>
                </c:pt>
                <c:pt idx="5">
                  <c:v>148.10975609756096</c:v>
                </c:pt>
                <c:pt idx="6">
                  <c:v>155.51524390243904</c:v>
                </c:pt>
                <c:pt idx="7">
                  <c:v>162.92073170731706</c:v>
                </c:pt>
                <c:pt idx="8">
                  <c:v>171.91310975609755</c:v>
                </c:pt>
                <c:pt idx="9">
                  <c:v>185.13719512195124</c:v>
                </c:pt>
                <c:pt idx="10">
                  <c:v>195.1875</c:v>
                </c:pt>
                <c:pt idx="11">
                  <c:v>204.17987804878047</c:v>
                </c:pt>
                <c:pt idx="12">
                  <c:v>208.94054878048783</c:v>
                </c:pt>
                <c:pt idx="13">
                  <c:v>216.875</c:v>
                </c:pt>
                <c:pt idx="14">
                  <c:v>220.57774390243901</c:v>
                </c:pt>
                <c:pt idx="15">
                  <c:v>225.86737804878047</c:v>
                </c:pt>
                <c:pt idx="16">
                  <c:v>234.85975609756099</c:v>
                </c:pt>
                <c:pt idx="17">
                  <c:v>257.60518292682929</c:v>
                </c:pt>
                <c:pt idx="18">
                  <c:v>271.88719512195121</c:v>
                </c:pt>
                <c:pt idx="19">
                  <c:v>290.40091463414637</c:v>
                </c:pt>
                <c:pt idx="20">
                  <c:v>308.91463414634148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251-40A9-B8C8-DD6E3F7C80B9}"/>
            </c:ext>
          </c:extLst>
        </c:ser>
        <c:ser>
          <c:idx val="11"/>
          <c:order val="11"/>
          <c:tx>
            <c:strRef>
              <c:f>Vergleich!$N$2</c:f>
              <c:strCache>
                <c:ptCount val="1"/>
                <c:pt idx="0">
                  <c:v>Mythen norm (Backer)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Vergleich!$N$3:$N$24</c:f>
              <c:numCache>
                <c:formatCode>#,##0</c:formatCode>
                <c:ptCount val="22"/>
                <c:pt idx="0">
                  <c:v>0</c:v>
                </c:pt>
                <c:pt idx="1">
                  <c:v>80.779352226720647</c:v>
                </c:pt>
                <c:pt idx="2">
                  <c:v>101.85222672064778</c:v>
                </c:pt>
                <c:pt idx="3">
                  <c:v>113.79352226720647</c:v>
                </c:pt>
                <c:pt idx="4">
                  <c:v>125.03238866396762</c:v>
                </c:pt>
                <c:pt idx="5">
                  <c:v>134.16396761133603</c:v>
                </c:pt>
                <c:pt idx="6">
                  <c:v>154.53441295546557</c:v>
                </c:pt>
                <c:pt idx="7">
                  <c:v>165.77327935222672</c:v>
                </c:pt>
                <c:pt idx="8">
                  <c:v>177.71457489878543</c:v>
                </c:pt>
                <c:pt idx="9">
                  <c:v>187.54858299595142</c:v>
                </c:pt>
                <c:pt idx="10">
                  <c:v>198.08502024291496</c:v>
                </c:pt>
                <c:pt idx="11">
                  <c:v>204.40688259109311</c:v>
                </c:pt>
                <c:pt idx="12">
                  <c:v>218.45546558704453</c:v>
                </c:pt>
                <c:pt idx="13">
                  <c:v>224.07489878542512</c:v>
                </c:pt>
                <c:pt idx="14">
                  <c:v>231.80161943319837</c:v>
                </c:pt>
                <c:pt idx="15">
                  <c:v>236.71862348178141</c:v>
                </c:pt>
                <c:pt idx="16">
                  <c:v>245.14777327935221</c:v>
                </c:pt>
                <c:pt idx="17">
                  <c:v>254.98178137651823</c:v>
                </c:pt>
                <c:pt idx="18">
                  <c:v>264.81578947368422</c:v>
                </c:pt>
                <c:pt idx="19">
                  <c:v>281.67408906882594</c:v>
                </c:pt>
                <c:pt idx="20">
                  <c:v>309.06882591093114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4-487C-B806-F0C4AB4B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8600"/>
        <c:axId val="568508928"/>
      </c:lineChart>
      <c:catAx>
        <c:axId val="5026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1912"/>
        <c:crosses val="autoZero"/>
        <c:auto val="1"/>
        <c:lblAlgn val="ctr"/>
        <c:lblOffset val="100"/>
        <c:noMultiLvlLbl val="0"/>
      </c:catAx>
      <c:valAx>
        <c:axId val="502641912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4864"/>
        <c:crosses val="autoZero"/>
        <c:crossBetween val="between"/>
        <c:majorUnit val="5000"/>
      </c:valAx>
      <c:valAx>
        <c:axId val="568508928"/>
        <c:scaling>
          <c:orientation val="minMax"/>
          <c:max val="7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8508600"/>
        <c:crosses val="max"/>
        <c:crossBetween val="between"/>
        <c:majorUnit val="50"/>
      </c:valAx>
      <c:catAx>
        <c:axId val="568508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50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chart" Target="../charts/chart1.xml"/><Relationship Id="rId7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hyperlink" Target="https://hinterdemauge.blogspot.com/p/aventuria-guide.html" TargetMode="External"/><Relationship Id="rId6" Type="http://schemas.openxmlformats.org/officeDocument/2006/relationships/hyperlink" Target="https://www.gameontabletop.com/cf415/aventuria-mythen-und-legenden.html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60854</xdr:colOff>
      <xdr:row>103</xdr:row>
      <xdr:rowOff>56885</xdr:rowOff>
    </xdr:from>
    <xdr:to>
      <xdr:col>12</xdr:col>
      <xdr:colOff>0</xdr:colOff>
      <xdr:row>110</xdr:row>
      <xdr:rowOff>99219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2A2DF1A-BAA4-4851-AB48-5B80266E9280}"/>
            </a:ext>
          </a:extLst>
        </xdr:cNvPr>
        <xdr:cNvSpPr txBox="1"/>
      </xdr:nvSpPr>
      <xdr:spPr>
        <a:xfrm>
          <a:off x="144198" y="30739291"/>
          <a:ext cx="16652875" cy="154252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baseline="0"/>
            <a:t>Dieser Einkaufsführer ist eine rein private Geschichte und </a:t>
          </a:r>
          <a:r>
            <a:rPr lang="de-DE" sz="1400" b="1" u="sng" baseline="0"/>
            <a:t>ohne Gewähr</a:t>
          </a:r>
          <a:r>
            <a:rPr lang="de-DE" sz="1400" b="1" baseline="0"/>
            <a:t> auf Vollständigkeit und 100%ige Korrektheit!</a:t>
          </a:r>
        </a:p>
        <a:p>
          <a:endParaRPr lang="de-DE" sz="800" b="1" baseline="0"/>
        </a:p>
        <a:p>
          <a:r>
            <a:rPr lang="de-DE" sz="1400" b="1" baseline="0"/>
            <a:t>Bei Fehlern meinerseits ist NICHT Ulisses dafür verantwortlich zu machen! Und ich bitte auch nicht ;)</a:t>
          </a:r>
        </a:p>
        <a:p>
          <a:r>
            <a:rPr lang="de-DE" sz="1400" b="1" baseline="0"/>
            <a:t>Ihr dürft mir Fehler aber sehr gerne in den CF-Kommentaren, in meinem Blog oder Discord, bei Facebook oder im Orkenspalter-Forum melden!</a:t>
          </a:r>
        </a:p>
        <a:p>
          <a:endParaRPr lang="de-DE" sz="800" b="1" baseline="0"/>
        </a:p>
        <a:p>
          <a:r>
            <a:rPr lang="de-DE" sz="1400" b="1" baseline="0"/>
            <a:t>Und nun gemeinsam auf ins Abenteuer!</a:t>
          </a:r>
        </a:p>
        <a:p>
          <a:r>
            <a:rPr lang="de-DE" sz="1400" b="1"/>
            <a:t>Euer GTStar	von Hinter dem Auge</a:t>
          </a:r>
          <a:r>
            <a:rPr lang="de-DE" sz="1400" b="1" baseline="0"/>
            <a:t> ...der DSA-info-Podcast</a:t>
          </a:r>
          <a:r>
            <a:rPr lang="de-DE" sz="1400" b="1"/>
            <a:t>								</a:t>
          </a:r>
          <a:r>
            <a:rPr lang="de-DE" sz="300" b="1"/>
            <a:t>Wer das liest ist neugierig ;)</a:t>
          </a:r>
        </a:p>
      </xdr:txBody>
    </xdr:sp>
    <xdr:clientData/>
  </xdr:twoCellAnchor>
  <xdr:twoCellAnchor editAs="oneCell">
    <xdr:from>
      <xdr:col>12</xdr:col>
      <xdr:colOff>914399</xdr:colOff>
      <xdr:row>2</xdr:row>
      <xdr:rowOff>45606</xdr:rowOff>
    </xdr:from>
    <xdr:to>
      <xdr:col>14</xdr:col>
      <xdr:colOff>2105024</xdr:colOff>
      <xdr:row>8</xdr:row>
      <xdr:rowOff>148427</xdr:rowOff>
    </xdr:to>
    <xdr:pic>
      <xdr:nvPicPr>
        <xdr:cNvPr id="30" name="Grafik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4CD68-188A-4A5E-A26E-6F115244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599" y="569481"/>
          <a:ext cx="3076575" cy="3065096"/>
        </a:xfrm>
        <a:prstGeom prst="rect">
          <a:avLst/>
        </a:prstGeom>
      </xdr:spPr>
    </xdr:pic>
    <xdr:clientData/>
  </xdr:twoCellAnchor>
  <xdr:twoCellAnchor>
    <xdr:from>
      <xdr:col>3</xdr:col>
      <xdr:colOff>71436</xdr:colOff>
      <xdr:row>79</xdr:row>
      <xdr:rowOff>105832</xdr:rowOff>
    </xdr:from>
    <xdr:to>
      <xdr:col>5</xdr:col>
      <xdr:colOff>1369218</xdr:colOff>
      <xdr:row>102</xdr:row>
      <xdr:rowOff>107155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A89B5485-9BAF-4F11-ABE9-4732FBF57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510948</xdr:colOff>
      <xdr:row>7</xdr:row>
      <xdr:rowOff>2115</xdr:rowOff>
    </xdr:from>
    <xdr:ext cx="317392" cy="317392"/>
    <xdr:pic>
      <xdr:nvPicPr>
        <xdr:cNvPr id="35" name="Grafik 34" descr="campaign image 6">
          <a:extLst>
            <a:ext uri="{FF2B5EF4-FFF2-40B4-BE49-F238E27FC236}">
              <a16:creationId xmlns:a16="http://schemas.microsoft.com/office/drawing/2014/main" id="{4B4D5CC6-BE21-4D63-9AC7-1A00A07A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5173" y="3573990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125941</xdr:colOff>
      <xdr:row>7</xdr:row>
      <xdr:rowOff>8163</xdr:rowOff>
    </xdr:from>
    <xdr:to>
      <xdr:col>11</xdr:col>
      <xdr:colOff>446327</xdr:colOff>
      <xdr:row>7</xdr:row>
      <xdr:rowOff>324027</xdr:rowOff>
    </xdr:to>
    <xdr:pic>
      <xdr:nvPicPr>
        <xdr:cNvPr id="36" name="Grafik 35" descr="Loddari">
          <a:extLst>
            <a:ext uri="{FF2B5EF4-FFF2-40B4-BE49-F238E27FC236}">
              <a16:creationId xmlns:a16="http://schemas.microsoft.com/office/drawing/2014/main" id="{0EFE73EF-A481-48E5-A154-D2CACE7E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0166" y="3580038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510948</xdr:colOff>
      <xdr:row>7</xdr:row>
      <xdr:rowOff>11640</xdr:rowOff>
    </xdr:from>
    <xdr:ext cx="317392" cy="317392"/>
    <xdr:pic>
      <xdr:nvPicPr>
        <xdr:cNvPr id="39" name="Grafik 38" descr="campaign image 6">
          <a:extLst>
            <a:ext uri="{FF2B5EF4-FFF2-40B4-BE49-F238E27FC236}">
              <a16:creationId xmlns:a16="http://schemas.microsoft.com/office/drawing/2014/main" id="{EDDDD127-9574-4967-97C5-5CE95902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2198" y="3583515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125941</xdr:colOff>
      <xdr:row>7</xdr:row>
      <xdr:rowOff>17688</xdr:rowOff>
    </xdr:from>
    <xdr:to>
      <xdr:col>9</xdr:col>
      <xdr:colOff>446327</xdr:colOff>
      <xdr:row>7</xdr:row>
      <xdr:rowOff>333552</xdr:rowOff>
    </xdr:to>
    <xdr:pic>
      <xdr:nvPicPr>
        <xdr:cNvPr id="40" name="Grafik 39" descr="Loddari">
          <a:extLst>
            <a:ext uri="{FF2B5EF4-FFF2-40B4-BE49-F238E27FC236}">
              <a16:creationId xmlns:a16="http://schemas.microsoft.com/office/drawing/2014/main" id="{CED83DD0-D8EC-42AA-957C-FD07C6A5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7191" y="3589563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1352549</xdr:colOff>
      <xdr:row>3</xdr:row>
      <xdr:rowOff>40718</xdr:rowOff>
    </xdr:from>
    <xdr:to>
      <xdr:col>5</xdr:col>
      <xdr:colOff>171450</xdr:colOff>
      <xdr:row>7</xdr:row>
      <xdr:rowOff>417195</xdr:rowOff>
    </xdr:to>
    <xdr:pic>
      <xdr:nvPicPr>
        <xdr:cNvPr id="3" name="Grafik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ACFC8F-63F0-4BFF-BE25-0EA99430D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299" y="840818"/>
          <a:ext cx="4962526" cy="2605327"/>
        </a:xfrm>
        <a:prstGeom prst="rect">
          <a:avLst/>
        </a:prstGeom>
      </xdr:spPr>
    </xdr:pic>
    <xdr:clientData/>
  </xdr:twoCellAnchor>
  <xdr:oneCellAnchor>
    <xdr:from>
      <xdr:col>4</xdr:col>
      <xdr:colOff>2276475</xdr:colOff>
      <xdr:row>15</xdr:row>
      <xdr:rowOff>247650</xdr:rowOff>
    </xdr:from>
    <xdr:ext cx="317392" cy="317392"/>
    <xdr:pic>
      <xdr:nvPicPr>
        <xdr:cNvPr id="49" name="Grafik 48" descr="campaign image 6">
          <a:extLst>
            <a:ext uri="{FF2B5EF4-FFF2-40B4-BE49-F238E27FC236}">
              <a16:creationId xmlns:a16="http://schemas.microsoft.com/office/drawing/2014/main" id="{C42BDB7D-E636-4967-A691-8812A1FE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5857875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41</xdr:col>
      <xdr:colOff>196453</xdr:colOff>
      <xdr:row>124</xdr:row>
      <xdr:rowOff>152399</xdr:rowOff>
    </xdr:from>
    <xdr:to>
      <xdr:col>55</xdr:col>
      <xdr:colOff>523875</xdr:colOff>
      <xdr:row>167</xdr:row>
      <xdr:rowOff>11906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027FC00-2D44-44A3-9880-9030337EC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10</xdr:col>
      <xdr:colOff>510948</xdr:colOff>
      <xdr:row>7</xdr:row>
      <xdr:rowOff>2115</xdr:rowOff>
    </xdr:from>
    <xdr:ext cx="317392" cy="317392"/>
    <xdr:pic>
      <xdr:nvPicPr>
        <xdr:cNvPr id="13" name="Grafik 12" descr="campaign image 6">
          <a:extLst>
            <a:ext uri="{FF2B5EF4-FFF2-40B4-BE49-F238E27FC236}">
              <a16:creationId xmlns:a16="http://schemas.microsoft.com/office/drawing/2014/main" id="{5181ED56-D6E1-4222-A790-D480D542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7173" y="2459565"/>
          <a:ext cx="317392" cy="317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125941</xdr:colOff>
      <xdr:row>7</xdr:row>
      <xdr:rowOff>8163</xdr:rowOff>
    </xdr:from>
    <xdr:ext cx="320386" cy="315864"/>
    <xdr:pic>
      <xdr:nvPicPr>
        <xdr:cNvPr id="14" name="Grafik 13" descr="Loddari">
          <a:extLst>
            <a:ext uri="{FF2B5EF4-FFF2-40B4-BE49-F238E27FC236}">
              <a16:creationId xmlns:a16="http://schemas.microsoft.com/office/drawing/2014/main" id="{456CB361-4D23-4550-BCD3-D2ED869F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2166" y="2465613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723899</xdr:colOff>
      <xdr:row>27</xdr:row>
      <xdr:rowOff>33336</xdr:rowOff>
    </xdr:from>
    <xdr:to>
      <xdr:col>17</xdr:col>
      <xdr:colOff>714374</xdr:colOff>
      <xdr:row>52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86C9BA-881E-46C9-8576-20415BCC7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D64560-C103-4611-8ECC-489CF0C3E7E0}" name="Tabelle2" displayName="Tabelle2" ref="AF1:AI22" totalsRowShown="0" headerRowDxfId="110" dataDxfId="108" headerRowBorderDxfId="109" tableBorderDxfId="107" totalsRowBorderDxfId="106">
  <autoFilter ref="AF1:AI22" xr:uid="{3F622D77-4EA1-4C0F-B5F9-85145A926FCB}"/>
  <sortState xmlns:xlrd2="http://schemas.microsoft.com/office/spreadsheetml/2017/richdata2" ref="AF2:AI22">
    <sortCondition descending="1" ref="AG1:AG22"/>
  </sortState>
  <tableColumns count="4">
    <tableColumn id="1" xr3:uid="{18FAEAC4-71C6-43CB-AEFC-72061F913676}" name="Tag" dataDxfId="105"/>
    <tableColumn id="2" xr3:uid="{5F9D4D87-7BDD-4FE2-B3A5-328FFE01408C}" name="€" dataDxfId="104">
      <calculatedColumnFormula>VLOOKUP(AF2,$R$81:$AB$102,11,FALSE)</calculatedColumnFormula>
    </tableColumn>
    <tableColumn id="3" xr3:uid="{3B2331C4-13E3-4A9C-A349-9D2418AC24C6}" name="Backer" dataDxfId="103">
      <calculatedColumnFormula>VLOOKUP(AF2,$R$81:$AA$102,10,FALSE)</calculatedColumnFormula>
    </tableColumn>
    <tableColumn id="4" xr3:uid="{5E6E8AC3-D414-4478-BF8F-162F08F3AC47}" name="€/Backer" dataDxfId="102">
      <calculatedColumnFormula>IFERROR(Tabelle2[[#This Row],[€]]/Tabelle2[[#This Row],[Backer]],"")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A9654-149B-455B-B037-D0C330FFD6EF}" name="Tabelle3" displayName="Tabelle3" ref="B2:AF24" totalsRowShown="0" headerRowDxfId="101">
  <autoFilter ref="B2:AF24" xr:uid="{27422959-90AD-4338-8C23-E3B9F7316881}"/>
  <tableColumns count="31">
    <tableColumn id="1" xr3:uid="{F20F49F8-6EB7-43C1-9922-F620A023E7F0}" name="Tag"/>
    <tableColumn id="2" xr3:uid="{6971CB83-29C8-475B-A31E-D387F03E1C07}" name="Nedime (€)" dataDxfId="100"/>
    <tableColumn id="3" xr3:uid="{F664882F-3BD9-41DE-A643-1C890FC1B073}" name="Nedime (Backer)" dataDxfId="99"/>
    <tableColumn id="4" xr3:uid="{6F8F036B-D5DC-4216-84F0-2BEBB08CBACA}" name="Thorwal norm (€)" dataDxfId="98"/>
    <tableColumn id="5" xr3:uid="{FD2FB521-94BA-46E4-A5EA-A7CEFF140F9A}" name="Thorwal norm (Backer)" dataDxfId="97"/>
    <tableColumn id="6" xr3:uid="{25BEFAD5-BE69-4A80-ABD3-5577E99AE16C}" name="Werkzeuge norm (€)" dataDxfId="96"/>
    <tableColumn id="7" xr3:uid="{AF4584B6-52C3-49C8-9E39-F43C0B8FEB14}" name="Werkzeuge norm (Backer)" dataDxfId="95"/>
    <tableColumn id="22" xr3:uid="{266EF583-8DD5-4805-B391-903ED2BAC519}" name="Mythos norm (€)" dataDxfId="94"/>
    <tableColumn id="23" xr3:uid="{3AB32905-68A3-4D5A-B37B-E5533823CB41}" name="Mythos norm (Backer)" dataDxfId="93"/>
    <tableColumn id="28" xr3:uid="{48AFB569-0998-4E2C-8C85-86F96730174E}" name="DSK norm (€)" dataDxfId="92"/>
    <tableColumn id="27" xr3:uid="{E47209D4-64AB-4094-A811-0DF73184FDC3}" name="DSK norm (Backer)" dataDxfId="91"/>
    <tableColumn id="30" xr3:uid="{1CA79BBE-302A-4822-AE79-917DFA78E074}" name="Mythen norm (€)" dataDxfId="90"/>
    <tableColumn id="31" xr3:uid="{6670A725-1507-4497-9A0C-43A65D0B6954}" name="Mythen norm (Backer)" dataDxfId="89"/>
    <tableColumn id="8" xr3:uid="{2114D7A1-DEA0-40EE-9B8B-0A668EFEB97B}" name="Thorwal (€)" dataDxfId="88"/>
    <tableColumn id="9" xr3:uid="{9A9EB59B-6CA6-4F08-B68D-0962E0D83338}" name="Thorwal (Backer)" dataDxfId="87"/>
    <tableColumn id="10" xr3:uid="{DF5363C3-935A-49F1-B72D-9DF733CE4302}" name="Werkzeuge (€)" dataDxfId="86"/>
    <tableColumn id="11" xr3:uid="{4CFD1B7C-52BE-49FD-B7F5-1D7A36D73889}" name="Werkzeuge (Backer)" dataDxfId="85"/>
    <tableColumn id="18" xr3:uid="{C732132C-C661-400E-A33E-810D292F34AA}" name="Mythos (€)" dataDxfId="84"/>
    <tableColumn id="19" xr3:uid="{90EA6656-0F6B-435F-8A50-D1F413A22B34}" name="Mythos (Backer)" dataDxfId="83"/>
    <tableColumn id="26" xr3:uid="{F4AEE733-FE50-4D43-B8B6-2CFA99AA7EE6}" name="DSK (€)" dataDxfId="82"/>
    <tableColumn id="29" xr3:uid="{519C5630-D167-4EFA-B84F-F9BC19E907B3}" name="DSK (Backer)" dataDxfId="81"/>
    <tableColumn id="20" xr3:uid="{C33B8766-778A-4CBA-B6CD-11F696D9BF3F}" name="Mythen (€)" dataDxfId="80">
      <calculatedColumnFormula>'Aventuria - Mythen &amp; Legenden'!Y80</calculatedColumnFormula>
    </tableColumn>
    <tableColumn id="21" xr3:uid="{7FE9A82A-5A08-46A8-A0C2-586311B74BB6}" name="Mythen (Backer)" dataDxfId="79">
      <calculatedColumnFormula>'Aventuria - Mythen &amp; Legenden'!Z80</calculatedColumnFormula>
    </tableColumn>
    <tableColumn id="12" xr3:uid="{CE532E56-7537-4234-994D-EF5975A2D3B8}" name="Aventuria (€) %" dataDxfId="78">
      <calculatedColumnFormula>Tabelle3[[#This Row],[Nedime (€)]]/C$24</calculatedColumnFormula>
    </tableColumn>
    <tableColumn id="13" xr3:uid="{6E91BB61-A019-4B20-A7F5-D01EA616EE80}" name="Aventuria (Backer) %" dataDxfId="77">
      <calculatedColumnFormula>Tabelle3[[#This Row],[Nedime (Backer)]]/D$24</calculatedColumnFormula>
    </tableColumn>
    <tableColumn id="14" xr3:uid="{FBF481DA-2BF3-4C7F-8B01-5CB18A4093B2}" name="Thorwal (€) %" dataDxfId="76">
      <calculatedColumnFormula>Tabelle3[[#This Row],[Thorwal (€)]]/O$24</calculatedColumnFormula>
    </tableColumn>
    <tableColumn id="15" xr3:uid="{B21023AA-7241-4A20-9F45-D78A9ACC5244}" name="Thorwal (Backer) %" dataDxfId="75">
      <calculatedColumnFormula>Tabelle3[[#This Row],[Thorwal (Backer)]]/P$24</calculatedColumnFormula>
    </tableColumn>
    <tableColumn id="16" xr3:uid="{DC7AD9E1-E99C-4261-9C20-A1E356A99AC0}" name="Werkzeuge (€) %" dataDxfId="74">
      <calculatedColumnFormula>Tabelle3[[#This Row],[Werkzeuge (€)]]/Q$24</calculatedColumnFormula>
    </tableColumn>
    <tableColumn id="17" xr3:uid="{BB027685-5D11-4F55-81EA-63B2D41CE363}" name="Werkzeuge (Backer) %" dataDxfId="73">
      <calculatedColumnFormula>Tabelle3[[#This Row],[Werkzeuge (Backer)]]/R$24</calculatedColumnFormula>
    </tableColumn>
    <tableColumn id="24" xr3:uid="{A23C8788-EEA7-4461-8240-391ABED3EBA3}" name="Mythos (€) %" dataDxfId="72">
      <calculatedColumnFormula>Tabelle3[[#This Row],[Mythos (€)]]/S$24</calculatedColumnFormula>
    </tableColumn>
    <tableColumn id="25" xr3:uid="{5DE909DD-E845-49F6-9E9A-EA884B351553}" name="Mthos (Backer) %" dataDxfId="71">
      <calculatedColumnFormula>Tabelle3[[#This Row],[Mythos (Backer)]]/T$24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gameontabletop.com/cf415/aventuria-mythen-und-legenden.html" TargetMode="External"/><Relationship Id="rId1" Type="http://schemas.openxmlformats.org/officeDocument/2006/relationships/hyperlink" Target="https://hinterdemauge.blogspot.com/p/aventuria-guide.html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82B-0226-4FC4-B481-9BD26DD7F965}">
  <sheetPr>
    <pageSetUpPr fitToPage="1"/>
  </sheetPr>
  <dimension ref="A1:BR148"/>
  <sheetViews>
    <sheetView showGridLines="0" showZeros="0" tabSelected="1" zoomScaleNormal="100" workbookViewId="0">
      <pane xSplit="6" ySplit="10" topLeftCell="G11" activePane="bottomRight" state="frozen"/>
      <selection pane="topRight" activeCell="F1" sqref="F1"/>
      <selection pane="bottomLeft" activeCell="A6" sqref="A6"/>
      <selection pane="bottomRight" activeCell="E11" sqref="E11"/>
    </sheetView>
  </sheetViews>
  <sheetFormatPr baseColWidth="10" defaultRowHeight="16.5" outlineLevelRow="1" outlineLevelCol="2" x14ac:dyDescent="0.3"/>
  <cols>
    <col min="1" max="2" width="11.42578125" style="183" hidden="1" customWidth="1" outlineLevel="1"/>
    <col min="3" max="3" width="1.28515625" style="21" customWidth="1" collapsed="1"/>
    <col min="4" max="4" width="20.140625" style="19" customWidth="1"/>
    <col min="5" max="5" width="92.140625" style="5" customWidth="1"/>
    <col min="6" max="6" width="25.5703125" style="5" bestFit="1" customWidth="1"/>
    <col min="7" max="12" width="14.140625" style="4" customWidth="1"/>
    <col min="13" max="13" width="14.140625" style="346" customWidth="1"/>
    <col min="14" max="14" width="14.140625" style="6" customWidth="1"/>
    <col min="15" max="15" width="44.42578125" style="23" bestFit="1" customWidth="1"/>
    <col min="16" max="16" width="11.42578125" style="182" hidden="1" customWidth="1" outlineLevel="2"/>
    <col min="17" max="17" width="11.42578125" style="182" hidden="1" customWidth="1" outlineLevel="1" collapsed="1"/>
    <col min="18" max="21" width="11.42578125" style="182" hidden="1" customWidth="1" outlineLevel="1"/>
    <col min="22" max="22" width="6.140625" style="182" hidden="1" customWidth="1" outlineLevel="2"/>
    <col min="23" max="23" width="7.28515625" style="182" hidden="1" customWidth="1" outlineLevel="1" collapsed="1"/>
    <col min="24" max="24" width="9.28515625" style="182" hidden="1" customWidth="1" outlineLevel="2"/>
    <col min="25" max="25" width="12.5703125" style="182" hidden="1" customWidth="1" outlineLevel="1" collapsed="1"/>
    <col min="26" max="28" width="11.42578125" style="182" hidden="1" customWidth="1" outlineLevel="1"/>
    <col min="29" max="29" width="11.42578125" style="202" hidden="1" customWidth="1" outlineLevel="1"/>
    <col min="30" max="31" width="11.42578125" style="182" hidden="1" customWidth="1" outlineLevel="1"/>
    <col min="32" max="32" width="14" style="182" hidden="1" customWidth="1" outlineLevel="1"/>
    <col min="33" max="35" width="11.42578125" style="201" hidden="1" customWidth="1" outlineLevel="1"/>
    <col min="36" max="36" width="11.42578125" style="182" hidden="1" customWidth="1" outlineLevel="1"/>
    <col min="37" max="39" width="11.42578125" style="201" hidden="1" customWidth="1" outlineLevel="1"/>
    <col min="40" max="43" width="11.42578125" style="182" hidden="1" customWidth="1" outlineLevel="1"/>
    <col min="44" max="45" width="11.42578125" style="202" hidden="1" customWidth="1" outlineLevel="1"/>
    <col min="46" max="47" width="11.42578125" style="182" hidden="1" customWidth="1" outlineLevel="1"/>
    <col min="48" max="49" width="11.42578125" style="202" hidden="1" customWidth="1" outlineLevel="1"/>
    <col min="50" max="51" width="11.42578125" style="182" hidden="1" customWidth="1" outlineLevel="1"/>
    <col min="52" max="53" width="11.42578125" style="202" hidden="1" customWidth="1" outlineLevel="1"/>
    <col min="54" max="54" width="11.28515625" style="182" hidden="1" customWidth="1" outlineLevel="1"/>
    <col min="55" max="56" width="11.42578125" style="182" hidden="1" customWidth="1" outlineLevel="1"/>
    <col min="57" max="58" width="11.42578125" style="202" hidden="1" customWidth="1" outlineLevel="1"/>
    <col min="59" max="59" width="11.42578125" style="203" hidden="1" customWidth="1" outlineLevel="1"/>
    <col min="60" max="60" width="11.42578125" style="182" hidden="1" customWidth="1" outlineLevel="1"/>
    <col min="61" max="61" width="11.42578125" style="21" collapsed="1"/>
    <col min="62" max="70" width="11.42578125" style="21"/>
    <col min="71" max="16384" width="11.42578125" style="5"/>
  </cols>
  <sheetData>
    <row r="1" spans="1:70" s="21" customFormat="1" ht="33.75" thickBot="1" x14ac:dyDescent="0.35">
      <c r="A1" s="182"/>
      <c r="B1" s="182"/>
      <c r="D1" s="113" t="str">
        <f>"Finaler Stand: "&amp;TEXT(R7,"TT.MM.JJJJ")</f>
        <v>Finaler Stand: 10.03.2021</v>
      </c>
      <c r="E1" s="465" t="str">
        <f>TEXT(T7&amp;". Tag (noch "&amp;21-T7&amp;" Tage)",)&amp;"; Aktueller Stand: "&amp;TEXT(R2,"#.##0")&amp;" € / "&amp;TEXT(R3,"#.##0")&amp;" Unterstützer (Ø "&amp;TEXT(R4,"#.##0,00")&amp;" €)"</f>
        <v>21. Tag (noch 0 Tage); Aktueller Stand: 90.001 € / 496 Unterstützer (Ø 181,45 €)</v>
      </c>
      <c r="F1" s="465"/>
      <c r="G1" s="468" t="s">
        <v>135</v>
      </c>
      <c r="H1" s="468"/>
      <c r="I1" s="468"/>
      <c r="J1" s="468"/>
      <c r="K1" s="468"/>
      <c r="L1" s="468"/>
      <c r="M1" s="467" t="s">
        <v>187</v>
      </c>
      <c r="N1" s="467"/>
      <c r="O1" s="467"/>
      <c r="P1" s="194"/>
      <c r="Q1" s="195"/>
      <c r="R1" s="196" t="s">
        <v>35</v>
      </c>
      <c r="S1" s="197" t="s">
        <v>34</v>
      </c>
      <c r="T1" s="198" t="s">
        <v>33</v>
      </c>
      <c r="U1" s="199"/>
      <c r="V1" s="182"/>
      <c r="W1" s="182"/>
      <c r="X1" s="182"/>
      <c r="Y1" s="200"/>
      <c r="Z1" s="182"/>
      <c r="AA1" s="182"/>
      <c r="AB1" s="182"/>
      <c r="AC1" s="202"/>
      <c r="AD1" s="182"/>
      <c r="AE1" s="182"/>
      <c r="AF1" s="429" t="s">
        <v>52</v>
      </c>
      <c r="AG1" s="430" t="s">
        <v>29</v>
      </c>
      <c r="AH1" s="430" t="s">
        <v>28</v>
      </c>
      <c r="AI1" s="431" t="s">
        <v>62</v>
      </c>
      <c r="AJ1" s="182"/>
      <c r="AK1" s="182"/>
      <c r="AL1" s="182"/>
      <c r="AM1" s="182"/>
      <c r="AN1" s="182"/>
      <c r="AO1" s="182"/>
      <c r="AP1" s="182"/>
      <c r="AQ1" s="182"/>
      <c r="AR1" s="202"/>
      <c r="AS1" s="202"/>
      <c r="AT1" s="182"/>
      <c r="AU1" s="182"/>
      <c r="AV1" s="202"/>
      <c r="AW1" s="202"/>
      <c r="AX1" s="182"/>
      <c r="AY1" s="182"/>
      <c r="AZ1" s="202"/>
      <c r="BA1" s="202"/>
      <c r="BB1" s="182"/>
      <c r="BC1" s="182"/>
      <c r="BD1" s="182"/>
      <c r="BE1" s="202"/>
      <c r="BF1" s="202"/>
      <c r="BG1" s="203"/>
      <c r="BH1" s="182"/>
    </row>
    <row r="2" spans="1:70" s="21" customFormat="1" ht="21" x14ac:dyDescent="0.3">
      <c r="A2" s="183"/>
      <c r="B2" s="183"/>
      <c r="D2" s="114" t="str">
        <f>R8&amp;" Uhr"</f>
        <v>20:00 Uhr</v>
      </c>
      <c r="E2" s="465" t="str">
        <f>"Erreichte Bonusziele: "&amp;R6&amp;" (alle)"&amp;" - bis "&amp;VLOOKUP(R6,$S$13:$T$64,2,FALSE)</f>
        <v>Erreichte Bonusziele: 32 (alle) - bis "Leute, die wirklich nicht spielen"</v>
      </c>
      <c r="F2" s="465"/>
      <c r="G2" s="469" t="s">
        <v>44</v>
      </c>
      <c r="H2" s="469"/>
      <c r="I2" s="469"/>
      <c r="J2" s="469"/>
      <c r="K2" s="469"/>
      <c r="L2" s="469"/>
      <c r="M2" s="464" t="s">
        <v>137</v>
      </c>
      <c r="N2" s="464"/>
      <c r="O2" s="464"/>
      <c r="P2" s="204" t="s">
        <v>6</v>
      </c>
      <c r="Q2" s="205" t="s">
        <v>29</v>
      </c>
      <c r="R2" s="368">
        <v>90001</v>
      </c>
      <c r="S2" s="206">
        <v>80761</v>
      </c>
      <c r="T2" s="207">
        <f>R2-S2</f>
        <v>9240</v>
      </c>
      <c r="U2" s="199"/>
      <c r="V2" s="182"/>
      <c r="W2" s="182"/>
      <c r="X2" s="182"/>
      <c r="Y2" s="208" t="s">
        <v>121</v>
      </c>
      <c r="Z2" s="182"/>
      <c r="AA2" s="182"/>
      <c r="AB2" s="182"/>
      <c r="AC2" s="202"/>
      <c r="AD2" s="182"/>
      <c r="AE2" s="246" t="s">
        <v>36</v>
      </c>
      <c r="AF2" s="426">
        <v>1</v>
      </c>
      <c r="AG2" s="309">
        <f>VLOOKUP(AF2,$R$81:$AB$102,11,FALSE)</f>
        <v>19612</v>
      </c>
      <c r="AH2" s="309">
        <f>VLOOKUP(AF2,$R$81:$AA$102,10,FALSE)</f>
        <v>115</v>
      </c>
      <c r="AI2" s="407">
        <f>IFERROR(Tabelle2[[#This Row],[€]]/Tabelle2[[#This Row],[Backer]],"")</f>
        <v>170.53913043478261</v>
      </c>
      <c r="AJ2" s="182"/>
      <c r="AK2" s="182"/>
      <c r="AL2" s="182"/>
      <c r="AM2" s="182"/>
      <c r="AN2" s="182"/>
      <c r="AO2" s="182"/>
      <c r="AP2" s="182"/>
      <c r="AQ2" s="182"/>
      <c r="AR2" s="202"/>
      <c r="AS2" s="202"/>
      <c r="AT2" s="182"/>
      <c r="AU2" s="182"/>
      <c r="AV2" s="202"/>
      <c r="AW2" s="202"/>
      <c r="AX2" s="182"/>
      <c r="AY2" s="182"/>
      <c r="AZ2" s="202"/>
      <c r="BA2" s="202"/>
      <c r="BB2" s="182"/>
      <c r="BC2" s="182"/>
      <c r="BD2" s="182"/>
      <c r="BE2" s="202"/>
      <c r="BF2" s="202"/>
      <c r="BG2" s="203"/>
      <c r="BH2" s="182"/>
    </row>
    <row r="3" spans="1:70" s="21" customFormat="1" ht="21.75" customHeight="1" thickBot="1" x14ac:dyDescent="0.35">
      <c r="A3" s="183"/>
      <c r="B3" s="183"/>
      <c r="E3" s="466"/>
      <c r="F3" s="466"/>
      <c r="G3" s="470" t="s">
        <v>136</v>
      </c>
      <c r="H3" s="470"/>
      <c r="I3" s="470"/>
      <c r="J3" s="470"/>
      <c r="K3" s="470"/>
      <c r="L3" s="470"/>
      <c r="M3" s="334"/>
      <c r="N3" s="116"/>
      <c r="P3" s="204" t="s">
        <v>6</v>
      </c>
      <c r="Q3" s="205" t="s">
        <v>28</v>
      </c>
      <c r="R3" s="369">
        <v>496</v>
      </c>
      <c r="S3" s="209">
        <v>450</v>
      </c>
      <c r="T3" s="207">
        <f>R3-S3</f>
        <v>46</v>
      </c>
      <c r="U3" s="199"/>
      <c r="V3" s="182"/>
      <c r="W3" s="182"/>
      <c r="X3" s="182"/>
      <c r="Y3" s="210"/>
      <c r="Z3" s="182"/>
      <c r="AA3" s="182"/>
      <c r="AB3" s="182"/>
      <c r="AC3" s="202"/>
      <c r="AD3" s="182"/>
      <c r="AE3" s="275" t="s">
        <v>37</v>
      </c>
      <c r="AF3" s="426">
        <v>21</v>
      </c>
      <c r="AG3" s="309">
        <f>VLOOKUP(AF3,$R$81:$AB$102,11,FALSE)</f>
        <v>11008</v>
      </c>
      <c r="AH3" s="309">
        <f>VLOOKUP(AF3,$R$81:$AA$102,10,FALSE)</f>
        <v>56</v>
      </c>
      <c r="AI3" s="407">
        <f>IFERROR(Tabelle2[[#This Row],[€]]/Tabelle2[[#This Row],[Backer]],"")</f>
        <v>196.57142857142858</v>
      </c>
      <c r="AJ3" s="182"/>
      <c r="AK3" s="182"/>
      <c r="AL3" s="182"/>
      <c r="AM3" s="182"/>
      <c r="AN3" s="182"/>
      <c r="AO3" s="182"/>
      <c r="AP3" s="182"/>
      <c r="AQ3" s="182"/>
      <c r="AR3" s="202"/>
      <c r="AS3" s="202"/>
      <c r="AT3" s="182"/>
      <c r="AU3" s="182"/>
      <c r="AV3" s="202"/>
      <c r="AW3" s="202"/>
      <c r="AX3" s="182"/>
      <c r="AY3" s="182"/>
      <c r="AZ3" s="202"/>
      <c r="BA3" s="202"/>
      <c r="BB3" s="182"/>
      <c r="BC3" s="182"/>
      <c r="BD3" s="182"/>
      <c r="BE3" s="202"/>
      <c r="BF3" s="202"/>
      <c r="BG3" s="203"/>
      <c r="BH3" s="182"/>
    </row>
    <row r="4" spans="1:70" s="111" customFormat="1" ht="33.75" customHeight="1" thickBot="1" x14ac:dyDescent="0.35">
      <c r="A4" s="184"/>
      <c r="B4" s="184"/>
      <c r="D4" s="117" t="s">
        <v>47</v>
      </c>
      <c r="G4" s="458" t="s">
        <v>0</v>
      </c>
      <c r="H4" s="459"/>
      <c r="I4" s="459"/>
      <c r="J4" s="459"/>
      <c r="K4" s="459"/>
      <c r="L4" s="460"/>
      <c r="M4" s="335"/>
      <c r="N4" s="119"/>
      <c r="P4" s="211" t="s">
        <v>17</v>
      </c>
      <c r="Q4" s="212"/>
      <c r="R4" s="213">
        <f>R2/R3</f>
        <v>181.45362903225808</v>
      </c>
      <c r="S4" s="214">
        <f>S2/S3</f>
        <v>179.4688888888889</v>
      </c>
      <c r="T4" s="215">
        <f>T2/T3</f>
        <v>200.86956521739131</v>
      </c>
      <c r="U4" s="216"/>
      <c r="V4" s="217"/>
      <c r="W4" s="217"/>
      <c r="X4" s="217"/>
      <c r="Y4" s="218"/>
      <c r="Z4" s="217"/>
      <c r="AA4" s="217"/>
      <c r="AB4" s="217"/>
      <c r="AC4" s="219"/>
      <c r="AD4" s="217"/>
      <c r="AE4" s="246" t="s">
        <v>39</v>
      </c>
      <c r="AF4" s="457">
        <v>20</v>
      </c>
      <c r="AG4" s="309">
        <f>VLOOKUP(AF4,$R$81:$AB$102,11,FALSE)</f>
        <v>7560</v>
      </c>
      <c r="AH4" s="309">
        <f>VLOOKUP(AF4,$R$81:$AA$102,10,FALSE)</f>
        <v>39</v>
      </c>
      <c r="AI4" s="407">
        <f>IFERROR(Tabelle2[[#This Row],[€]]/Tabelle2[[#This Row],[Backer]],"")</f>
        <v>193.84615384615384</v>
      </c>
      <c r="AJ4" s="217"/>
      <c r="AK4" s="217"/>
      <c r="AL4" s="217"/>
      <c r="AM4" s="217"/>
      <c r="AN4" s="217"/>
      <c r="AO4" s="217"/>
      <c r="AP4" s="217"/>
      <c r="AQ4" s="217"/>
      <c r="AR4" s="219"/>
      <c r="AS4" s="219"/>
      <c r="AT4" s="217"/>
      <c r="AU4" s="217"/>
      <c r="AV4" s="219"/>
      <c r="AW4" s="219"/>
      <c r="AX4" s="217"/>
      <c r="AY4" s="217"/>
      <c r="AZ4" s="219"/>
      <c r="BA4" s="219"/>
      <c r="BB4" s="217"/>
      <c r="BC4" s="217"/>
      <c r="BD4" s="217"/>
      <c r="BE4" s="219"/>
      <c r="BF4" s="219"/>
      <c r="BG4" s="220"/>
      <c r="BH4" s="217"/>
    </row>
    <row r="5" spans="1:70" s="111" customFormat="1" ht="33.75" customHeight="1" thickBot="1" x14ac:dyDescent="0.35">
      <c r="A5" s="184"/>
      <c r="B5" s="184"/>
      <c r="D5" s="120" t="s">
        <v>1</v>
      </c>
      <c r="G5" s="461" t="s">
        <v>19</v>
      </c>
      <c r="H5" s="462"/>
      <c r="I5" s="462"/>
      <c r="J5" s="462"/>
      <c r="K5" s="462"/>
      <c r="L5" s="463"/>
      <c r="M5" s="335"/>
      <c r="N5" s="119"/>
      <c r="P5" s="211" t="s">
        <v>17</v>
      </c>
      <c r="Q5" s="212"/>
      <c r="R5" s="221" t="s">
        <v>31</v>
      </c>
      <c r="S5" s="222" t="s">
        <v>30</v>
      </c>
      <c r="T5" s="223" t="s">
        <v>32</v>
      </c>
      <c r="U5" s="217"/>
      <c r="V5" s="217"/>
      <c r="W5" s="217"/>
      <c r="X5" s="217"/>
      <c r="Y5" s="224"/>
      <c r="Z5" s="217"/>
      <c r="AA5" s="217"/>
      <c r="AB5" s="217"/>
      <c r="AC5" s="219"/>
      <c r="AD5" s="217"/>
      <c r="AE5" s="275" t="s">
        <v>122</v>
      </c>
      <c r="AF5" s="457">
        <v>2</v>
      </c>
      <c r="AG5" s="309">
        <f>VLOOKUP(AF5,$R$81:$AB$102,11,FALSE)</f>
        <v>4920</v>
      </c>
      <c r="AH5" s="309">
        <f>VLOOKUP(AF5,$R$81:$AA$102,10,FALSE)</f>
        <v>30</v>
      </c>
      <c r="AI5" s="407">
        <f>IFERROR(Tabelle2[[#This Row],[€]]/Tabelle2[[#This Row],[Backer]],"")</f>
        <v>164</v>
      </c>
      <c r="AJ5" s="217"/>
      <c r="AK5" s="217"/>
      <c r="AL5" s="217"/>
      <c r="AM5" s="217"/>
      <c r="AN5" s="225"/>
      <c r="AO5" s="217"/>
      <c r="AP5" s="217"/>
      <c r="AQ5" s="217"/>
      <c r="AR5" s="219"/>
      <c r="AS5" s="219"/>
      <c r="AT5" s="217"/>
      <c r="AU5" s="217"/>
      <c r="AV5" s="219"/>
      <c r="AW5" s="219"/>
      <c r="AX5" s="217"/>
      <c r="AY5" s="217"/>
      <c r="AZ5" s="219"/>
      <c r="BA5" s="219"/>
      <c r="BB5" s="217"/>
      <c r="BC5" s="217"/>
      <c r="BD5" s="217"/>
      <c r="BE5" s="219"/>
      <c r="BF5" s="219"/>
      <c r="BG5" s="220"/>
      <c r="BH5" s="217"/>
    </row>
    <row r="6" spans="1:70" s="111" customFormat="1" ht="17.25" thickBot="1" x14ac:dyDescent="0.35">
      <c r="A6" s="184"/>
      <c r="B6" s="184"/>
      <c r="D6" s="121" t="s">
        <v>49</v>
      </c>
      <c r="G6" s="118"/>
      <c r="H6" s="118"/>
      <c r="I6" s="118"/>
      <c r="J6" s="118"/>
      <c r="K6" s="118"/>
      <c r="L6" s="118"/>
      <c r="M6" s="335"/>
      <c r="N6" s="119"/>
      <c r="P6" s="226" t="s">
        <v>6</v>
      </c>
      <c r="Q6" s="227"/>
      <c r="R6" s="367">
        <v>32</v>
      </c>
      <c r="S6" s="228">
        <v>28</v>
      </c>
      <c r="T6" s="366">
        <v>82500</v>
      </c>
      <c r="U6" s="229"/>
      <c r="V6" s="217"/>
      <c r="W6" s="217"/>
      <c r="X6" s="217"/>
      <c r="Y6" s="230"/>
      <c r="Z6" s="217"/>
      <c r="AA6" s="217"/>
      <c r="AB6" s="217"/>
      <c r="AC6" s="219"/>
      <c r="AD6" s="217"/>
      <c r="AE6" s="246" t="s">
        <v>38</v>
      </c>
      <c r="AF6" s="457">
        <v>6</v>
      </c>
      <c r="AG6" s="309">
        <f>VLOOKUP(AF6,$R$81:$AB$102,11,FALSE)</f>
        <v>4860</v>
      </c>
      <c r="AH6" s="309">
        <f>VLOOKUP(AF6,$R$81:$AA$102,10,FALSE)</f>
        <v>29</v>
      </c>
      <c r="AI6" s="407">
        <f>IFERROR(Tabelle2[[#This Row],[€]]/Tabelle2[[#This Row],[Backer]],"")</f>
        <v>167.58620689655172</v>
      </c>
      <c r="AJ6" s="217"/>
      <c r="AK6" s="217"/>
      <c r="AL6" s="217"/>
      <c r="AM6" s="217"/>
      <c r="AN6" s="225"/>
      <c r="AO6" s="217"/>
      <c r="AP6" s="217"/>
      <c r="AQ6" s="217"/>
      <c r="AR6" s="219"/>
      <c r="AS6" s="219"/>
      <c r="AT6" s="217"/>
      <c r="AU6" s="217"/>
      <c r="AV6" s="219"/>
      <c r="AW6" s="219"/>
      <c r="AX6" s="217"/>
      <c r="AY6" s="217"/>
      <c r="AZ6" s="219"/>
      <c r="BA6" s="219"/>
      <c r="BB6" s="217"/>
      <c r="BC6" s="217"/>
      <c r="BD6" s="217"/>
      <c r="BE6" s="219"/>
      <c r="BF6" s="219"/>
      <c r="BG6" s="220"/>
      <c r="BH6" s="217"/>
    </row>
    <row r="7" spans="1:70" s="32" customFormat="1" ht="90.75" thickBot="1" x14ac:dyDescent="0.35">
      <c r="A7" s="185"/>
      <c r="B7" s="185"/>
      <c r="D7" s="121" t="s">
        <v>134</v>
      </c>
      <c r="F7" s="122"/>
      <c r="G7" s="475" t="s">
        <v>225</v>
      </c>
      <c r="H7" s="129" t="s">
        <v>141</v>
      </c>
      <c r="I7" s="129" t="s">
        <v>142</v>
      </c>
      <c r="J7" s="130" t="s">
        <v>143</v>
      </c>
      <c r="K7" s="130" t="s">
        <v>144</v>
      </c>
      <c r="L7" s="350" t="s">
        <v>226</v>
      </c>
      <c r="M7" s="336"/>
      <c r="N7" s="116"/>
      <c r="P7" s="231" t="s">
        <v>17</v>
      </c>
      <c r="Q7" s="232"/>
      <c r="R7" s="233">
        <v>44265</v>
      </c>
      <c r="S7" s="234">
        <v>44264</v>
      </c>
      <c r="T7" s="235">
        <v>21</v>
      </c>
      <c r="U7" s="232"/>
      <c r="V7" s="232"/>
      <c r="W7" s="232"/>
      <c r="X7" s="232"/>
      <c r="Y7" s="232"/>
      <c r="Z7" s="232"/>
      <c r="AA7" s="232"/>
      <c r="AB7" s="232"/>
      <c r="AC7" s="237"/>
      <c r="AD7" s="239"/>
      <c r="AE7" s="275" t="s">
        <v>123</v>
      </c>
      <c r="AF7" s="426">
        <v>19</v>
      </c>
      <c r="AG7" s="309">
        <f>VLOOKUP(AF7,$R$81:$AB$102,11,FALSE)</f>
        <v>4684</v>
      </c>
      <c r="AH7" s="309">
        <f>VLOOKUP(AF7,$R$81:$AA$102,10,FALSE)</f>
        <v>24</v>
      </c>
      <c r="AI7" s="407">
        <f>IFERROR(Tabelle2[[#This Row],[€]]/Tabelle2[[#This Row],[Backer]],"")</f>
        <v>195.16666666666666</v>
      </c>
      <c r="AJ7" s="232"/>
      <c r="AK7" s="232"/>
      <c r="AL7" s="232"/>
      <c r="AM7" s="232"/>
      <c r="AN7" s="238"/>
      <c r="AO7" s="238"/>
      <c r="AP7" s="232"/>
      <c r="AQ7" s="232"/>
      <c r="AR7" s="237"/>
      <c r="AS7" s="237"/>
      <c r="AT7" s="232"/>
      <c r="AU7" s="232"/>
      <c r="AV7" s="237"/>
      <c r="AW7" s="237"/>
      <c r="AX7" s="232"/>
      <c r="AY7" s="232"/>
      <c r="AZ7" s="237"/>
      <c r="BA7" s="237"/>
      <c r="BB7" s="232"/>
      <c r="BC7" s="232"/>
      <c r="BD7" s="232"/>
      <c r="BE7" s="237"/>
      <c r="BF7" s="237"/>
      <c r="BG7" s="240"/>
      <c r="BH7" s="232"/>
    </row>
    <row r="8" spans="1:70" s="21" customFormat="1" ht="36" thickBot="1" x14ac:dyDescent="0.35">
      <c r="A8" s="183"/>
      <c r="B8" s="183"/>
      <c r="D8" s="330" t="s">
        <v>2</v>
      </c>
      <c r="F8" s="419"/>
      <c r="G8" s="476"/>
      <c r="H8" s="347"/>
      <c r="I8" s="347"/>
      <c r="J8" s="348"/>
      <c r="K8" s="348"/>
      <c r="L8" s="351"/>
      <c r="M8" s="337"/>
      <c r="N8" s="116"/>
      <c r="P8" s="231" t="s">
        <v>6</v>
      </c>
      <c r="Q8" s="241" t="s">
        <v>120</v>
      </c>
      <c r="R8" s="366" t="s">
        <v>313</v>
      </c>
      <c r="S8" s="242" t="s">
        <v>304</v>
      </c>
      <c r="T8" s="182"/>
      <c r="U8" s="182"/>
      <c r="V8" s="182"/>
      <c r="W8" s="182"/>
      <c r="X8" s="182"/>
      <c r="Y8" s="182"/>
      <c r="Z8" s="182"/>
      <c r="AA8" s="182"/>
      <c r="AB8" s="182"/>
      <c r="AC8" s="202"/>
      <c r="AD8" s="182"/>
      <c r="AE8" s="246" t="s">
        <v>40</v>
      </c>
      <c r="AF8" s="457">
        <v>12</v>
      </c>
      <c r="AG8" s="309">
        <f>VLOOKUP(AF8,$R$81:$AB$102,11,FALSE)</f>
        <v>3934</v>
      </c>
      <c r="AH8" s="309">
        <f>VLOOKUP(AF8,$R$81:$AA$102,10,FALSE)</f>
        <v>20</v>
      </c>
      <c r="AI8" s="407">
        <f>IFERROR(Tabelle2[[#This Row],[€]]/Tabelle2[[#This Row],[Backer]],"")</f>
        <v>196.7</v>
      </c>
      <c r="AJ8" s="182"/>
      <c r="AK8" s="182"/>
      <c r="AL8" s="182"/>
      <c r="AM8" s="182"/>
      <c r="AN8" s="243"/>
      <c r="AO8" s="182"/>
      <c r="AP8" s="182"/>
      <c r="AQ8" s="182"/>
      <c r="AR8" s="202"/>
      <c r="AS8" s="202"/>
      <c r="AT8" s="182"/>
      <c r="AU8" s="182"/>
      <c r="AV8" s="202"/>
      <c r="AW8" s="202"/>
      <c r="AX8" s="182"/>
      <c r="AY8" s="182"/>
      <c r="AZ8" s="202"/>
      <c r="BA8" s="202"/>
      <c r="BB8" s="182"/>
      <c r="BC8" s="182"/>
      <c r="BD8" s="182"/>
      <c r="BE8" s="202"/>
      <c r="BF8" s="202"/>
      <c r="BG8" s="203"/>
      <c r="BH8" s="182"/>
    </row>
    <row r="9" spans="1:70" s="20" customFormat="1" ht="17.25" thickBot="1" x14ac:dyDescent="0.35">
      <c r="A9" s="185"/>
      <c r="B9" s="185"/>
      <c r="D9" s="123"/>
      <c r="E9" s="418" t="s">
        <v>224</v>
      </c>
      <c r="F9" s="127"/>
      <c r="G9" s="128" t="s">
        <v>48</v>
      </c>
      <c r="H9" s="349">
        <v>11</v>
      </c>
      <c r="I9" s="349">
        <v>40</v>
      </c>
      <c r="J9" s="349">
        <v>26</v>
      </c>
      <c r="K9" s="349">
        <v>454</v>
      </c>
      <c r="L9" s="421">
        <f>Q9-R3</f>
        <v>35</v>
      </c>
      <c r="M9" s="124"/>
      <c r="N9" s="124"/>
      <c r="P9" s="244"/>
      <c r="Q9" s="205">
        <f>SUM(H9:K9)</f>
        <v>531</v>
      </c>
      <c r="R9" s="245" t="s">
        <v>43</v>
      </c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8"/>
      <c r="AD9" s="246"/>
      <c r="AE9" s="275" t="s">
        <v>124</v>
      </c>
      <c r="AF9" s="457">
        <v>8</v>
      </c>
      <c r="AG9" s="309">
        <f>VLOOKUP(AF9,$R$81:$AB$102,11,FALSE)</f>
        <v>3543</v>
      </c>
      <c r="AH9" s="309">
        <f>VLOOKUP(AF9,$R$81:$AA$102,10,FALSE)</f>
        <v>17</v>
      </c>
      <c r="AI9" s="407">
        <f>IFERROR(Tabelle2[[#This Row],[€]]/Tabelle2[[#This Row],[Backer]],"")</f>
        <v>208.41176470588235</v>
      </c>
      <c r="AJ9" s="246"/>
      <c r="AK9" s="246"/>
      <c r="AL9" s="246"/>
      <c r="AM9" s="246"/>
      <c r="AN9" s="246"/>
      <c r="AO9" s="246"/>
      <c r="AP9" s="246"/>
      <c r="AQ9" s="246"/>
      <c r="AR9" s="248"/>
      <c r="AS9" s="248"/>
      <c r="AT9" s="246"/>
      <c r="AU9" s="246"/>
      <c r="AV9" s="248"/>
      <c r="AW9" s="248"/>
      <c r="AX9" s="246"/>
      <c r="AY9" s="246"/>
      <c r="AZ9" s="248"/>
      <c r="BA9" s="248"/>
      <c r="BB9" s="246"/>
      <c r="BC9" s="246"/>
      <c r="BD9" s="246"/>
      <c r="BE9" s="248"/>
      <c r="BF9" s="248"/>
      <c r="BG9" s="249"/>
      <c r="BH9" s="246"/>
    </row>
    <row r="10" spans="1:70" s="7" customFormat="1" ht="45" x14ac:dyDescent="0.25">
      <c r="A10" s="186" t="s">
        <v>14</v>
      </c>
      <c r="B10" s="186" t="s">
        <v>29</v>
      </c>
      <c r="C10" s="32"/>
      <c r="D10" s="131" t="s">
        <v>3</v>
      </c>
      <c r="E10" s="132" t="s">
        <v>25</v>
      </c>
      <c r="F10" s="133" t="s">
        <v>4</v>
      </c>
      <c r="G10" s="134"/>
      <c r="H10" s="134">
        <v>35</v>
      </c>
      <c r="I10" s="134">
        <v>75</v>
      </c>
      <c r="J10" s="135">
        <v>120</v>
      </c>
      <c r="K10" s="136">
        <v>150</v>
      </c>
      <c r="L10" s="136">
        <f>I10+K10</f>
        <v>225</v>
      </c>
      <c r="M10" s="338" t="s">
        <v>18</v>
      </c>
      <c r="N10" s="137" t="s">
        <v>45</v>
      </c>
      <c r="O10" s="137" t="s">
        <v>119</v>
      </c>
      <c r="P10" s="231" t="s">
        <v>17</v>
      </c>
      <c r="Q10" s="250">
        <f>Q9-R3</f>
        <v>35</v>
      </c>
      <c r="R10" s="232"/>
      <c r="S10" s="232"/>
      <c r="T10" s="232"/>
      <c r="U10" s="232"/>
      <c r="V10" s="232"/>
      <c r="W10" s="232"/>
      <c r="X10" s="232"/>
      <c r="Y10" s="232"/>
      <c r="Z10" s="246"/>
      <c r="AA10" s="246"/>
      <c r="AB10" s="246"/>
      <c r="AC10" s="248"/>
      <c r="AD10" s="246"/>
      <c r="AE10" s="246" t="s">
        <v>42</v>
      </c>
      <c r="AF10" s="426">
        <v>3</v>
      </c>
      <c r="AG10" s="309">
        <f>VLOOKUP(AF10,$R$81:$AB$102,11,FALSE)</f>
        <v>3139</v>
      </c>
      <c r="AH10" s="309">
        <f>VLOOKUP(AF10,$R$81:$AA$102,10,FALSE)</f>
        <v>17</v>
      </c>
      <c r="AI10" s="407">
        <f>IFERROR(Tabelle2[[#This Row],[€]]/Tabelle2[[#This Row],[Backer]],"")</f>
        <v>184.64705882352942</v>
      </c>
      <c r="AJ10" s="232"/>
      <c r="AK10" s="232"/>
      <c r="AL10" s="232"/>
      <c r="AM10" s="232"/>
      <c r="AN10" s="246"/>
      <c r="AO10" s="246"/>
      <c r="AP10" s="246"/>
      <c r="AQ10" s="232"/>
      <c r="AR10" s="237"/>
      <c r="AS10" s="237"/>
      <c r="AT10" s="232"/>
      <c r="AU10" s="232"/>
      <c r="AV10" s="237"/>
      <c r="AW10" s="237"/>
      <c r="AX10" s="232"/>
      <c r="AY10" s="232"/>
      <c r="AZ10" s="237"/>
      <c r="BA10" s="237"/>
      <c r="BB10" s="232"/>
      <c r="BC10" s="232"/>
      <c r="BD10" s="232"/>
      <c r="BE10" s="237"/>
      <c r="BF10" s="237"/>
      <c r="BG10" s="240"/>
      <c r="BH10" s="2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s="8" customFormat="1" ht="21" x14ac:dyDescent="0.3">
      <c r="A11" s="183"/>
      <c r="B11" s="183"/>
      <c r="C11" s="33"/>
      <c r="D11" s="9"/>
      <c r="E11" s="10" t="s">
        <v>274</v>
      </c>
      <c r="F11" s="11" t="s">
        <v>153</v>
      </c>
      <c r="G11" s="12"/>
      <c r="H11" s="1"/>
      <c r="I11" s="1"/>
      <c r="J11" s="2" t="s">
        <v>6</v>
      </c>
      <c r="K11" s="2" t="s">
        <v>6</v>
      </c>
      <c r="L11" s="2" t="s">
        <v>6</v>
      </c>
      <c r="M11" s="339">
        <v>75</v>
      </c>
      <c r="N11" s="13">
        <v>74.95</v>
      </c>
      <c r="O11" s="100"/>
      <c r="P11" s="204" t="s">
        <v>6</v>
      </c>
      <c r="Q11" s="251"/>
      <c r="R11" s="252">
        <v>12500</v>
      </c>
      <c r="S11" s="253">
        <v>1</v>
      </c>
      <c r="T11" s="254" t="s">
        <v>138</v>
      </c>
      <c r="U11" s="251"/>
      <c r="V11" s="251"/>
      <c r="W11" s="251"/>
      <c r="X11" s="251"/>
      <c r="Y11" s="251">
        <f>4*55-Y17</f>
        <v>0</v>
      </c>
      <c r="Z11" s="246"/>
      <c r="AA11" s="246"/>
      <c r="AB11" s="246"/>
      <c r="AC11" s="248"/>
      <c r="AD11" s="246"/>
      <c r="AE11" s="275" t="s">
        <v>41</v>
      </c>
      <c r="AF11" s="457">
        <v>10</v>
      </c>
      <c r="AG11" s="309">
        <f>VLOOKUP(AF11,$R$81:$AB$102,11,FALSE)</f>
        <v>2882</v>
      </c>
      <c r="AH11" s="309">
        <f>VLOOKUP(AF11,$R$81:$AA$102,10,FALSE)</f>
        <v>15</v>
      </c>
      <c r="AI11" s="407">
        <f>IFERROR(Tabelle2[[#This Row],[€]]/Tabelle2[[#This Row],[Backer]],"")</f>
        <v>192.13333333333333</v>
      </c>
      <c r="AJ11" s="251"/>
      <c r="AK11" s="251"/>
      <c r="AL11" s="251"/>
      <c r="AM11" s="251"/>
      <c r="AN11" s="246"/>
      <c r="AO11" s="246"/>
      <c r="AP11" s="246"/>
      <c r="AQ11" s="251"/>
      <c r="AR11" s="256"/>
      <c r="AS11" s="256"/>
      <c r="AT11" s="251"/>
      <c r="AU11" s="251"/>
      <c r="AV11" s="256"/>
      <c r="AW11" s="256"/>
      <c r="AX11" s="251"/>
      <c r="AY11" s="251"/>
      <c r="AZ11" s="256"/>
      <c r="BA11" s="256"/>
      <c r="BB11" s="251"/>
      <c r="BC11" s="251"/>
      <c r="BD11" s="251"/>
      <c r="BE11" s="256"/>
      <c r="BF11" s="256"/>
      <c r="BG11" s="257"/>
      <c r="BH11" s="251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s="99" customFormat="1" ht="21" x14ac:dyDescent="0.25">
      <c r="A12" s="187" t="s">
        <v>132</v>
      </c>
      <c r="B12" s="187">
        <v>62500</v>
      </c>
      <c r="C12" s="47"/>
      <c r="D12" s="92"/>
      <c r="E12" s="93" t="s">
        <v>266</v>
      </c>
      <c r="F12" s="94" t="s">
        <v>273</v>
      </c>
      <c r="G12" s="95"/>
      <c r="H12" s="2"/>
      <c r="I12" s="2"/>
      <c r="J12" s="2" t="s">
        <v>6</v>
      </c>
      <c r="K12" s="2" t="s">
        <v>6</v>
      </c>
      <c r="L12" s="2" t="s">
        <v>6</v>
      </c>
      <c r="M12" s="340" t="s">
        <v>7</v>
      </c>
      <c r="N12" s="18" t="s">
        <v>7</v>
      </c>
      <c r="O12" s="102"/>
      <c r="P12" s="265" t="s">
        <v>6</v>
      </c>
      <c r="Q12" s="266">
        <v>1.99</v>
      </c>
      <c r="R12" s="252">
        <f>R11+2500</f>
        <v>15000</v>
      </c>
      <c r="S12" s="253">
        <v>2</v>
      </c>
      <c r="T12" s="254" t="s">
        <v>139</v>
      </c>
      <c r="U12" s="251"/>
      <c r="V12" s="202"/>
      <c r="W12" s="202"/>
      <c r="X12" s="202"/>
      <c r="Y12" s="202"/>
      <c r="Z12" s="246"/>
      <c r="AA12" s="240"/>
      <c r="AB12" s="198"/>
      <c r="AC12" s="198"/>
      <c r="AD12" s="246"/>
      <c r="AE12" s="246" t="s">
        <v>46</v>
      </c>
      <c r="AF12" s="426">
        <v>7</v>
      </c>
      <c r="AG12" s="309">
        <f>VLOOKUP(AF12,$R$81:$AB$102,11,FALSE)</f>
        <v>2742</v>
      </c>
      <c r="AH12" s="309">
        <f>VLOOKUP(AF12,$R$81:$AA$102,10,FALSE)</f>
        <v>16</v>
      </c>
      <c r="AI12" s="407">
        <f>IFERROR(Tabelle2[[#This Row],[€]]/Tabelle2[[#This Row],[Backer]],"")</f>
        <v>171.375</v>
      </c>
      <c r="AJ12" s="198"/>
      <c r="AK12" s="198"/>
      <c r="AL12" s="198"/>
      <c r="AM12" s="198"/>
      <c r="AN12" s="246"/>
      <c r="AO12" s="246"/>
      <c r="AP12" s="246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71"/>
      <c r="BH12" s="202"/>
      <c r="BI12" s="47"/>
      <c r="BJ12" s="47"/>
      <c r="BK12" s="47"/>
      <c r="BL12" s="47"/>
      <c r="BM12" s="47"/>
      <c r="BN12" s="47"/>
      <c r="BO12" s="47"/>
      <c r="BP12" s="47"/>
      <c r="BQ12" s="47"/>
      <c r="BR12" s="47"/>
    </row>
    <row r="13" spans="1:70" ht="21" x14ac:dyDescent="0.3">
      <c r="A13" s="186" t="s">
        <v>269</v>
      </c>
      <c r="B13" s="186">
        <v>67500</v>
      </c>
      <c r="D13" s="92"/>
      <c r="E13" s="93" t="s">
        <v>277</v>
      </c>
      <c r="F13" s="94" t="s">
        <v>270</v>
      </c>
      <c r="G13" s="95"/>
      <c r="H13" s="446"/>
      <c r="I13" s="446"/>
      <c r="J13" s="2" t="s">
        <v>6</v>
      </c>
      <c r="K13" s="2" t="s">
        <v>6</v>
      </c>
      <c r="L13" s="2" t="s">
        <v>6</v>
      </c>
      <c r="M13" s="340" t="s">
        <v>7</v>
      </c>
      <c r="N13" s="18" t="s">
        <v>7</v>
      </c>
      <c r="O13" s="102"/>
      <c r="P13" s="204" t="s">
        <v>6</v>
      </c>
      <c r="Q13" s="232"/>
      <c r="R13" s="263">
        <f t="shared" ref="R13:R15" si="0">R12+2500</f>
        <v>17500</v>
      </c>
      <c r="S13" s="364">
        <v>3</v>
      </c>
      <c r="T13" s="365" t="s">
        <v>140</v>
      </c>
      <c r="U13" s="325"/>
      <c r="Z13" s="246"/>
      <c r="AA13" s="246"/>
      <c r="AB13" s="246"/>
      <c r="AC13" s="248"/>
      <c r="AE13" s="275" t="s">
        <v>125</v>
      </c>
      <c r="AF13" s="457">
        <v>16</v>
      </c>
      <c r="AG13" s="309">
        <f>VLOOKUP(AF13,$R$81:$AB$102,11,FALSE)</f>
        <v>2688</v>
      </c>
      <c r="AH13" s="309">
        <f>VLOOKUP(AF13,$R$81:$AA$102,10,FALSE)</f>
        <v>12</v>
      </c>
      <c r="AI13" s="407">
        <f>IFERROR(Tabelle2[[#This Row],[€]]/Tabelle2[[#This Row],[Backer]],"")</f>
        <v>224</v>
      </c>
      <c r="AJ13" s="246"/>
      <c r="AK13" s="251"/>
      <c r="AR13" s="182"/>
      <c r="AS13" s="182"/>
      <c r="AV13" s="182"/>
      <c r="AW13" s="182"/>
      <c r="AZ13" s="182"/>
      <c r="BA13" s="182"/>
      <c r="BE13" s="182"/>
      <c r="BF13" s="182"/>
    </row>
    <row r="14" spans="1:70" ht="21" x14ac:dyDescent="0.3">
      <c r="A14" s="186" t="s">
        <v>288</v>
      </c>
      <c r="B14" s="186">
        <v>72500</v>
      </c>
      <c r="D14" s="92"/>
      <c r="E14" s="93" t="s">
        <v>290</v>
      </c>
      <c r="F14" s="94" t="s">
        <v>291</v>
      </c>
      <c r="G14" s="95"/>
      <c r="H14" s="446"/>
      <c r="I14" s="446"/>
      <c r="J14" s="2" t="s">
        <v>6</v>
      </c>
      <c r="K14" s="2" t="s">
        <v>6</v>
      </c>
      <c r="L14" s="2" t="s">
        <v>6</v>
      </c>
      <c r="M14" s="340" t="s">
        <v>7</v>
      </c>
      <c r="N14" s="18" t="s">
        <v>7</v>
      </c>
      <c r="O14" s="102"/>
      <c r="P14" s="204" t="s">
        <v>6</v>
      </c>
      <c r="Q14" s="232"/>
      <c r="R14" s="263">
        <f t="shared" si="0"/>
        <v>20000</v>
      </c>
      <c r="S14" s="364">
        <v>4</v>
      </c>
      <c r="T14" s="365" t="s">
        <v>171</v>
      </c>
      <c r="U14" s="325"/>
      <c r="Z14" s="246"/>
      <c r="AA14" s="246"/>
      <c r="AB14" s="246"/>
      <c r="AC14" s="248"/>
      <c r="AE14" s="246" t="s">
        <v>50</v>
      </c>
      <c r="AF14" s="457">
        <v>4</v>
      </c>
      <c r="AG14" s="309">
        <f>VLOOKUP(AF14,$R$81:$AB$102,11,FALSE)</f>
        <v>2653</v>
      </c>
      <c r="AH14" s="309">
        <f>VLOOKUP(AF14,$R$81:$AA$102,10,FALSE)</f>
        <v>16</v>
      </c>
      <c r="AI14" s="407">
        <f>IFERROR(Tabelle2[[#This Row],[€]]/Tabelle2[[#This Row],[Backer]],"")</f>
        <v>165.8125</v>
      </c>
      <c r="AJ14" s="246"/>
      <c r="AK14" s="251"/>
      <c r="AR14" s="182"/>
      <c r="AS14" s="182"/>
      <c r="AV14" s="182"/>
      <c r="AW14" s="182"/>
      <c r="AZ14" s="182"/>
      <c r="BA14" s="182"/>
      <c r="BE14" s="182"/>
      <c r="BF14" s="182"/>
    </row>
    <row r="15" spans="1:70" s="8" customFormat="1" ht="21" x14ac:dyDescent="0.3">
      <c r="A15" s="183"/>
      <c r="B15" s="183"/>
      <c r="C15" s="33"/>
      <c r="D15" s="9"/>
      <c r="E15" s="10" t="s">
        <v>314</v>
      </c>
      <c r="F15" s="11" t="s">
        <v>154</v>
      </c>
      <c r="G15" s="14"/>
      <c r="H15" s="2"/>
      <c r="I15" s="2"/>
      <c r="J15" s="2" t="s">
        <v>6</v>
      </c>
      <c r="K15" s="2" t="s">
        <v>6</v>
      </c>
      <c r="L15" s="2" t="s">
        <v>6</v>
      </c>
      <c r="M15" s="339">
        <v>50</v>
      </c>
      <c r="N15" s="13">
        <v>49.95</v>
      </c>
      <c r="O15" s="100"/>
      <c r="P15" s="204" t="s">
        <v>6</v>
      </c>
      <c r="Q15" s="251"/>
      <c r="R15" s="263">
        <f t="shared" si="0"/>
        <v>22500</v>
      </c>
      <c r="S15" s="364">
        <v>5</v>
      </c>
      <c r="T15" s="365" t="s">
        <v>169</v>
      </c>
      <c r="U15" s="264"/>
      <c r="V15" s="251"/>
      <c r="W15" s="251"/>
      <c r="X15" s="251"/>
      <c r="Y15" s="425">
        <f>Y17/55</f>
        <v>4</v>
      </c>
      <c r="Z15" s="246"/>
      <c r="AA15" s="246"/>
      <c r="AB15" s="246"/>
      <c r="AC15" s="248"/>
      <c r="AD15" s="246"/>
      <c r="AE15" s="275" t="s">
        <v>126</v>
      </c>
      <c r="AF15" s="457">
        <v>18</v>
      </c>
      <c r="AG15" s="309">
        <f>VLOOKUP(AF15,$R$81:$AB$102,11,FALSE)</f>
        <v>2491</v>
      </c>
      <c r="AH15" s="309">
        <f>VLOOKUP(AF15,$R$81:$AA$102,10,FALSE)</f>
        <v>14</v>
      </c>
      <c r="AI15" s="407">
        <f>IFERROR(Tabelle2[[#This Row],[€]]/Tabelle2[[#This Row],[Backer]],"")</f>
        <v>177.92857142857142</v>
      </c>
      <c r="AJ15" s="251"/>
      <c r="AK15" s="251"/>
      <c r="AL15" s="251"/>
      <c r="AM15" s="251"/>
      <c r="AN15" s="246"/>
      <c r="AO15" s="246"/>
      <c r="AP15" s="246"/>
      <c r="AQ15" s="251"/>
      <c r="AR15" s="256"/>
      <c r="AS15" s="256"/>
      <c r="AT15" s="251"/>
      <c r="AU15" s="251"/>
      <c r="AV15" s="256"/>
      <c r="AW15" s="256"/>
      <c r="AX15" s="251"/>
      <c r="AY15" s="251"/>
      <c r="AZ15" s="256"/>
      <c r="BA15" s="256"/>
      <c r="BB15" s="251"/>
      <c r="BC15" s="251"/>
      <c r="BD15" s="251"/>
      <c r="BE15" s="256"/>
      <c r="BF15" s="256"/>
      <c r="BG15" s="257"/>
      <c r="BH15" s="251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ht="21" x14ac:dyDescent="0.3">
      <c r="A16" s="186" t="s">
        <v>301</v>
      </c>
      <c r="B16" s="186">
        <v>80000</v>
      </c>
      <c r="D16" s="92"/>
      <c r="E16" s="93" t="s">
        <v>315</v>
      </c>
      <c r="F16" s="94" t="s">
        <v>302</v>
      </c>
      <c r="G16" s="95"/>
      <c r="H16" s="446"/>
      <c r="I16" s="446"/>
      <c r="J16" s="2" t="s">
        <v>6</v>
      </c>
      <c r="K16" s="2" t="s">
        <v>6</v>
      </c>
      <c r="L16" s="2" t="s">
        <v>6</v>
      </c>
      <c r="M16" s="340" t="s">
        <v>7</v>
      </c>
      <c r="N16" s="18" t="s">
        <v>7</v>
      </c>
      <c r="O16" s="102"/>
      <c r="P16" s="204" t="s">
        <v>6</v>
      </c>
      <c r="Q16" s="232"/>
      <c r="R16" s="263">
        <f t="shared" ref="R16:R23" si="1">R15+2500</f>
        <v>25000</v>
      </c>
      <c r="S16" s="364">
        <v>6</v>
      </c>
      <c r="T16" s="365" t="s">
        <v>172</v>
      </c>
      <c r="U16" s="325"/>
      <c r="Z16" s="246"/>
      <c r="AA16" s="246"/>
      <c r="AB16" s="246"/>
      <c r="AC16" s="248"/>
      <c r="AE16" s="246" t="s">
        <v>51</v>
      </c>
      <c r="AF16" s="426">
        <v>17</v>
      </c>
      <c r="AG16" s="309">
        <f>VLOOKUP(AF16,$R$81:$AB$102,11,FALSE)</f>
        <v>2416</v>
      </c>
      <c r="AH16" s="309">
        <f>VLOOKUP(AF16,$R$81:$AA$102,10,FALSE)</f>
        <v>14</v>
      </c>
      <c r="AI16" s="407">
        <f>IFERROR(Tabelle2[[#This Row],[€]]/Tabelle2[[#This Row],[Backer]],"")</f>
        <v>172.57142857142858</v>
      </c>
      <c r="AJ16" s="246"/>
      <c r="AK16" s="251"/>
      <c r="AR16" s="182"/>
      <c r="AS16" s="182"/>
      <c r="AV16" s="182"/>
      <c r="AW16" s="182"/>
      <c r="AZ16" s="182"/>
      <c r="BA16" s="182"/>
      <c r="BE16" s="182"/>
      <c r="BF16" s="182"/>
    </row>
    <row r="17" spans="1:70" s="8" customFormat="1" ht="21" x14ac:dyDescent="0.3">
      <c r="A17" s="186"/>
      <c r="B17" s="186"/>
      <c r="C17" s="33"/>
      <c r="D17" s="9"/>
      <c r="E17" s="10" t="s">
        <v>145</v>
      </c>
      <c r="F17" s="11" t="s">
        <v>153</v>
      </c>
      <c r="G17" s="14"/>
      <c r="H17" s="2"/>
      <c r="I17" s="2"/>
      <c r="J17" s="2" t="s">
        <v>6</v>
      </c>
      <c r="K17" s="2" t="s">
        <v>6</v>
      </c>
      <c r="L17" s="2" t="s">
        <v>6</v>
      </c>
      <c r="M17" s="339" t="s">
        <v>7</v>
      </c>
      <c r="N17" s="13">
        <v>29.95</v>
      </c>
      <c r="O17" s="101" t="s">
        <v>8</v>
      </c>
      <c r="P17" s="204" t="s">
        <v>6</v>
      </c>
      <c r="Q17" s="251"/>
      <c r="R17" s="263">
        <f t="shared" si="1"/>
        <v>27500</v>
      </c>
      <c r="S17" s="364">
        <v>7</v>
      </c>
      <c r="T17" s="365" t="s">
        <v>173</v>
      </c>
      <c r="U17" s="267"/>
      <c r="V17" s="325"/>
      <c r="W17" s="251"/>
      <c r="X17" s="251"/>
      <c r="Y17" s="232">
        <f>SUM(Y18:Y34)</f>
        <v>220</v>
      </c>
      <c r="Z17" s="246"/>
      <c r="AA17" s="417">
        <f>29.95-Q24</f>
        <v>27</v>
      </c>
      <c r="AB17" s="246"/>
      <c r="AC17" s="248"/>
      <c r="AD17" s="246"/>
      <c r="AE17" s="275" t="s">
        <v>127</v>
      </c>
      <c r="AF17" s="426">
        <v>5</v>
      </c>
      <c r="AG17" s="309">
        <f>VLOOKUP(AF17,$R$81:$AB$102,11,FALSE)</f>
        <v>2297</v>
      </c>
      <c r="AH17" s="309">
        <f>VLOOKUP(AF17,$R$81:$AA$102,10,FALSE)</f>
        <v>13</v>
      </c>
      <c r="AI17" s="407">
        <f>IFERROR(Tabelle2[[#This Row],[€]]/Tabelle2[[#This Row],[Backer]],"")</f>
        <v>176.69230769230768</v>
      </c>
      <c r="AJ17" s="251"/>
      <c r="AK17" s="251"/>
      <c r="AL17" s="251"/>
      <c r="AM17" s="251"/>
      <c r="AN17" s="246"/>
      <c r="AO17" s="246"/>
      <c r="AP17" s="246"/>
      <c r="AQ17" s="251"/>
      <c r="AR17" s="256"/>
      <c r="AS17" s="256"/>
      <c r="AT17" s="251"/>
      <c r="AU17" s="251"/>
      <c r="AV17" s="256"/>
      <c r="AW17" s="256"/>
      <c r="AX17" s="251"/>
      <c r="AY17" s="251"/>
      <c r="AZ17" s="256"/>
      <c r="BA17" s="256"/>
      <c r="BB17" s="251"/>
      <c r="BC17" s="251"/>
      <c r="BD17" s="251"/>
      <c r="BE17" s="256"/>
      <c r="BF17" s="256"/>
      <c r="BG17" s="257"/>
      <c r="BH17" s="251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s="7" customFormat="1" ht="21" x14ac:dyDescent="0.25">
      <c r="A18" s="186"/>
      <c r="B18" s="186"/>
      <c r="C18" s="32"/>
      <c r="D18" s="92"/>
      <c r="E18" s="93" t="s">
        <v>166</v>
      </c>
      <c r="F18" s="94" t="s">
        <v>165</v>
      </c>
      <c r="G18" s="95"/>
      <c r="H18" s="2"/>
      <c r="I18" s="2"/>
      <c r="J18" s="2" t="s">
        <v>6</v>
      </c>
      <c r="K18" s="2" t="s">
        <v>6</v>
      </c>
      <c r="L18" s="2" t="s">
        <v>6</v>
      </c>
      <c r="M18" s="340" t="s">
        <v>7</v>
      </c>
      <c r="N18" s="18" t="s">
        <v>7</v>
      </c>
      <c r="O18" s="102"/>
      <c r="P18" s="265" t="s">
        <v>6</v>
      </c>
      <c r="Q18" s="266">
        <f t="shared" ref="Q18:Q23" si="2">AA18</f>
        <v>5.15</v>
      </c>
      <c r="R18" s="263">
        <f t="shared" si="1"/>
        <v>30000</v>
      </c>
      <c r="S18" s="364">
        <v>8</v>
      </c>
      <c r="T18" s="365" t="s">
        <v>174</v>
      </c>
      <c r="U18" s="267"/>
      <c r="V18" s="260"/>
      <c r="W18" s="232"/>
      <c r="X18" s="232"/>
      <c r="Y18" s="236">
        <f>14*3</f>
        <v>42</v>
      </c>
      <c r="Z18" s="247">
        <f>Y18</f>
        <v>42</v>
      </c>
      <c r="AA18" s="240">
        <f t="shared" ref="AA18:AA23" si="3">ROUND(Y18/Y$17*AA$17,2)</f>
        <v>5.15</v>
      </c>
      <c r="AB18" s="246"/>
      <c r="AC18" s="248"/>
      <c r="AD18" s="246"/>
      <c r="AE18" s="246" t="s">
        <v>128</v>
      </c>
      <c r="AF18" s="426">
        <v>9</v>
      </c>
      <c r="AG18" s="309">
        <f>VLOOKUP(AF18,$R$81:$AB$102,11,FALSE)</f>
        <v>2205</v>
      </c>
      <c r="AH18" s="309">
        <f>VLOOKUP(AF18,$R$81:$AA$102,10,FALSE)</f>
        <v>14</v>
      </c>
      <c r="AI18" s="407">
        <f>IFERROR(Tabelle2[[#This Row],[€]]/Tabelle2[[#This Row],[Backer]],"")</f>
        <v>157.5</v>
      </c>
      <c r="AJ18" s="232"/>
      <c r="AK18" s="232"/>
      <c r="AL18" s="232"/>
      <c r="AM18" s="232"/>
      <c r="AN18" s="246"/>
      <c r="AO18" s="246"/>
      <c r="AP18" s="246"/>
      <c r="AQ18" s="232"/>
      <c r="AR18" s="237"/>
      <c r="AS18" s="237"/>
      <c r="AT18" s="232"/>
      <c r="AU18" s="232"/>
      <c r="AV18" s="237"/>
      <c r="AW18" s="237"/>
      <c r="AX18" s="232"/>
      <c r="AY18" s="232"/>
      <c r="AZ18" s="237"/>
      <c r="BA18" s="237"/>
      <c r="BB18" s="232"/>
      <c r="BC18" s="232"/>
      <c r="BD18" s="232"/>
      <c r="BE18" s="237"/>
      <c r="BF18" s="237"/>
      <c r="BG18" s="240"/>
      <c r="BH18" s="2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</row>
    <row r="19" spans="1:70" s="17" customFormat="1" ht="21" x14ac:dyDescent="0.3">
      <c r="A19" s="187" t="s">
        <v>36</v>
      </c>
      <c r="B19" s="187">
        <v>12500</v>
      </c>
      <c r="C19" s="34"/>
      <c r="D19" s="92"/>
      <c r="E19" s="93" t="s">
        <v>234</v>
      </c>
      <c r="F19" s="94" t="s">
        <v>165</v>
      </c>
      <c r="G19" s="95"/>
      <c r="H19" s="2"/>
      <c r="I19" s="2"/>
      <c r="J19" s="2" t="s">
        <v>6</v>
      </c>
      <c r="K19" s="2" t="s">
        <v>6</v>
      </c>
      <c r="L19" s="2" t="s">
        <v>6</v>
      </c>
      <c r="M19" s="340" t="s">
        <v>7</v>
      </c>
      <c r="N19" s="18" t="s">
        <v>7</v>
      </c>
      <c r="O19" s="102"/>
      <c r="P19" s="265" t="s">
        <v>6</v>
      </c>
      <c r="Q19" s="266">
        <f t="shared" si="2"/>
        <v>2.4500000000000002</v>
      </c>
      <c r="R19" s="263">
        <f t="shared" si="1"/>
        <v>32500</v>
      </c>
      <c r="S19" s="364">
        <v>9</v>
      </c>
      <c r="T19" s="365" t="s">
        <v>175</v>
      </c>
      <c r="U19" s="267"/>
      <c r="V19" s="264"/>
      <c r="W19" s="237"/>
      <c r="X19" s="237"/>
      <c r="Y19" s="237">
        <f>4+4*2*2</f>
        <v>20</v>
      </c>
      <c r="Z19" s="246">
        <f>Z18+Y19</f>
        <v>62</v>
      </c>
      <c r="AA19" s="240">
        <f t="shared" si="3"/>
        <v>2.4500000000000002</v>
      </c>
      <c r="AB19" s="246"/>
      <c r="AC19" s="248"/>
      <c r="AD19" s="246"/>
      <c r="AE19" s="275" t="s">
        <v>129</v>
      </c>
      <c r="AF19" s="457">
        <v>14</v>
      </c>
      <c r="AG19" s="309">
        <f>VLOOKUP(AF19,$R$81:$AB$102,11,FALSE)</f>
        <v>2073</v>
      </c>
      <c r="AH19" s="309">
        <f>VLOOKUP(AF19,$R$81:$AA$102,10,FALSE)</f>
        <v>11</v>
      </c>
      <c r="AI19" s="407">
        <f>IFERROR(Tabelle2[[#This Row],[€]]/Tabelle2[[#This Row],[Backer]],"")</f>
        <v>188.45454545454547</v>
      </c>
      <c r="AJ19" s="237"/>
      <c r="AK19" s="237"/>
      <c r="AL19" s="237"/>
      <c r="AM19" s="237"/>
      <c r="AN19" s="246"/>
      <c r="AO19" s="246"/>
      <c r="AP19" s="246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62"/>
      <c r="BH19" s="237"/>
      <c r="BI19" s="34"/>
      <c r="BJ19" s="34"/>
      <c r="BK19" s="34"/>
      <c r="BL19" s="34"/>
      <c r="BM19" s="34"/>
      <c r="BN19" s="34"/>
      <c r="BO19" s="34"/>
      <c r="BP19" s="34"/>
      <c r="BQ19" s="34"/>
      <c r="BR19" s="34"/>
    </row>
    <row r="20" spans="1:70" s="98" customFormat="1" ht="21" x14ac:dyDescent="0.25">
      <c r="A20" s="187" t="s">
        <v>37</v>
      </c>
      <c r="B20" s="187">
        <v>15000</v>
      </c>
      <c r="C20" s="44"/>
      <c r="D20" s="92"/>
      <c r="E20" s="93" t="s">
        <v>185</v>
      </c>
      <c r="F20" s="94" t="s">
        <v>165</v>
      </c>
      <c r="G20" s="95"/>
      <c r="H20" s="2"/>
      <c r="I20" s="2"/>
      <c r="J20" s="2" t="s">
        <v>6</v>
      </c>
      <c r="K20" s="2" t="s">
        <v>6</v>
      </c>
      <c r="L20" s="2" t="s">
        <v>6</v>
      </c>
      <c r="M20" s="340" t="s">
        <v>7</v>
      </c>
      <c r="N20" s="18" t="s">
        <v>7</v>
      </c>
      <c r="O20" s="102"/>
      <c r="P20" s="265" t="s">
        <v>6</v>
      </c>
      <c r="Q20" s="266">
        <f t="shared" si="2"/>
        <v>0.49</v>
      </c>
      <c r="R20" s="263">
        <f t="shared" si="1"/>
        <v>35000</v>
      </c>
      <c r="S20" s="364">
        <v>10</v>
      </c>
      <c r="T20" s="365" t="s">
        <v>170</v>
      </c>
      <c r="U20" s="267"/>
      <c r="V20" s="267"/>
      <c r="W20" s="256"/>
      <c r="X20" s="256"/>
      <c r="Y20" s="202">
        <v>4</v>
      </c>
      <c r="Z20" s="246">
        <f t="shared" ref="Z20:Z34" si="4">Z19+Y20</f>
        <v>66</v>
      </c>
      <c r="AA20" s="240">
        <f t="shared" si="3"/>
        <v>0.49</v>
      </c>
      <c r="AB20" s="246"/>
      <c r="AC20" s="248"/>
      <c r="AD20" s="246"/>
      <c r="AE20" s="246" t="s">
        <v>133</v>
      </c>
      <c r="AF20" s="426">
        <v>15</v>
      </c>
      <c r="AG20" s="309">
        <f>VLOOKUP(AF20,$R$81:$AB$102,11,FALSE)</f>
        <v>1496</v>
      </c>
      <c r="AH20" s="309">
        <f>VLOOKUP(AF20,$R$81:$AA$102,10,FALSE)</f>
        <v>7</v>
      </c>
      <c r="AI20" s="407">
        <f>IFERROR(Tabelle2[[#This Row],[€]]/Tabelle2[[#This Row],[Backer]],"")</f>
        <v>213.71428571428572</v>
      </c>
      <c r="AJ20" s="256"/>
      <c r="AK20" s="256"/>
      <c r="AL20" s="256"/>
      <c r="AM20" s="256"/>
      <c r="AN20" s="246"/>
      <c r="AO20" s="246"/>
      <c r="AP20" s="24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69"/>
      <c r="BH20" s="256"/>
      <c r="BI20" s="44"/>
      <c r="BJ20" s="44"/>
      <c r="BK20" s="44"/>
      <c r="BL20" s="44"/>
      <c r="BM20" s="44"/>
      <c r="BN20" s="44"/>
      <c r="BO20" s="44"/>
      <c r="BP20" s="44"/>
      <c r="BQ20" s="44"/>
      <c r="BR20" s="44"/>
    </row>
    <row r="21" spans="1:70" s="98" customFormat="1" ht="21" x14ac:dyDescent="0.3">
      <c r="A21" s="187" t="s">
        <v>122</v>
      </c>
      <c r="B21" s="187">
        <v>20000</v>
      </c>
      <c r="C21" s="44"/>
      <c r="D21" s="92"/>
      <c r="E21" s="93" t="s">
        <v>188</v>
      </c>
      <c r="F21" s="94" t="s">
        <v>165</v>
      </c>
      <c r="G21" s="95"/>
      <c r="H21" s="2"/>
      <c r="I21" s="2"/>
      <c r="J21" s="2" t="s">
        <v>6</v>
      </c>
      <c r="K21" s="2" t="s">
        <v>6</v>
      </c>
      <c r="L21" s="2" t="s">
        <v>6</v>
      </c>
      <c r="M21" s="340" t="s">
        <v>7</v>
      </c>
      <c r="N21" s="18" t="s">
        <v>7</v>
      </c>
      <c r="O21" s="102"/>
      <c r="P21" s="265" t="s">
        <v>6</v>
      </c>
      <c r="Q21" s="266">
        <f t="shared" si="2"/>
        <v>2.4500000000000002</v>
      </c>
      <c r="R21" s="263">
        <f t="shared" si="1"/>
        <v>37500</v>
      </c>
      <c r="S21" s="364">
        <v>11</v>
      </c>
      <c r="T21" s="365" t="s">
        <v>176</v>
      </c>
      <c r="U21" s="270"/>
      <c r="V21" s="267"/>
      <c r="W21" s="256"/>
      <c r="X21" s="256"/>
      <c r="Y21" s="261">
        <v>20</v>
      </c>
      <c r="Z21" s="247">
        <f t="shared" si="4"/>
        <v>86</v>
      </c>
      <c r="AA21" s="240">
        <f t="shared" si="3"/>
        <v>2.4500000000000002</v>
      </c>
      <c r="AB21" s="246"/>
      <c r="AC21" s="248"/>
      <c r="AD21" s="246"/>
      <c r="AE21" s="275" t="s">
        <v>131</v>
      </c>
      <c r="AF21" s="426">
        <v>11</v>
      </c>
      <c r="AG21" s="309">
        <f>VLOOKUP(AF21,$R$81:$AB$102,11,FALSE)</f>
        <v>1431</v>
      </c>
      <c r="AH21" s="309">
        <f>VLOOKUP(AF21,$R$81:$AA$102,10,FALSE)</f>
        <v>9</v>
      </c>
      <c r="AI21" s="407">
        <f>IFERROR(Tabelle2[[#This Row],[€]]/Tabelle2[[#This Row],[Backer]],"")</f>
        <v>159</v>
      </c>
      <c r="AJ21" s="256"/>
      <c r="AK21" s="256"/>
      <c r="AL21" s="256"/>
      <c r="AM21" s="256"/>
      <c r="AN21" s="246"/>
      <c r="AO21" s="246"/>
      <c r="AP21" s="24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69"/>
      <c r="BH21" s="256"/>
      <c r="BI21" s="44"/>
      <c r="BJ21" s="44"/>
      <c r="BK21" s="44"/>
      <c r="BL21" s="44"/>
      <c r="BM21" s="44"/>
      <c r="BN21" s="44"/>
      <c r="BO21" s="44"/>
      <c r="BP21" s="44"/>
      <c r="BQ21" s="44"/>
      <c r="BR21" s="44"/>
    </row>
    <row r="22" spans="1:70" s="98" customFormat="1" ht="21" x14ac:dyDescent="0.25">
      <c r="A22" s="187" t="s">
        <v>38</v>
      </c>
      <c r="B22" s="187">
        <v>22500</v>
      </c>
      <c r="C22" s="44"/>
      <c r="D22" s="92"/>
      <c r="E22" s="93" t="s">
        <v>235</v>
      </c>
      <c r="F22" s="94" t="s">
        <v>165</v>
      </c>
      <c r="G22" s="108"/>
      <c r="H22" s="2"/>
      <c r="I22" s="2"/>
      <c r="J22" s="2" t="s">
        <v>6</v>
      </c>
      <c r="K22" s="2" t="s">
        <v>6</v>
      </c>
      <c r="L22" s="2" t="s">
        <v>6</v>
      </c>
      <c r="M22" s="340" t="s">
        <v>7</v>
      </c>
      <c r="N22" s="18" t="s">
        <v>7</v>
      </c>
      <c r="O22" s="102"/>
      <c r="P22" s="265" t="s">
        <v>6</v>
      </c>
      <c r="Q22" s="266">
        <f t="shared" si="2"/>
        <v>2.4500000000000002</v>
      </c>
      <c r="R22" s="263">
        <f t="shared" si="1"/>
        <v>40000</v>
      </c>
      <c r="S22" s="364">
        <v>12</v>
      </c>
      <c r="T22" s="365" t="s">
        <v>177</v>
      </c>
      <c r="U22" s="260"/>
      <c r="V22" s="256"/>
      <c r="W22" s="256"/>
      <c r="X22" s="256"/>
      <c r="Y22" s="237">
        <f>4+4*2*2</f>
        <v>20</v>
      </c>
      <c r="Z22" s="246">
        <f t="shared" si="4"/>
        <v>106</v>
      </c>
      <c r="AA22" s="240">
        <f t="shared" si="3"/>
        <v>2.4500000000000002</v>
      </c>
      <c r="AB22" s="246"/>
      <c r="AC22" s="248"/>
      <c r="AD22" s="246"/>
      <c r="AE22" s="246" t="s">
        <v>132</v>
      </c>
      <c r="AF22" s="426">
        <v>13</v>
      </c>
      <c r="AG22" s="309">
        <f>VLOOKUP(AF22,$R$81:$AB$102,11,FALSE)</f>
        <v>1367</v>
      </c>
      <c r="AH22" s="309">
        <f>VLOOKUP(AF22,$R$81:$AA$102,10,FALSE)</f>
        <v>8</v>
      </c>
      <c r="AI22" s="407">
        <f>IFERROR(Tabelle2[[#This Row],[€]]/Tabelle2[[#This Row],[Backer]],"")</f>
        <v>170.875</v>
      </c>
      <c r="AJ22" s="256"/>
      <c r="AK22" s="256"/>
      <c r="AL22" s="256"/>
      <c r="AM22" s="256"/>
      <c r="AN22" s="246"/>
      <c r="AO22" s="246"/>
      <c r="AP22" s="24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69"/>
      <c r="BH22" s="256"/>
      <c r="BI22" s="44"/>
      <c r="BJ22" s="44"/>
      <c r="BK22" s="44"/>
      <c r="BL22" s="44"/>
      <c r="BM22" s="44"/>
      <c r="BN22" s="44"/>
      <c r="BO22" s="44"/>
      <c r="BP22" s="44"/>
      <c r="BQ22" s="44"/>
      <c r="BR22" s="44"/>
    </row>
    <row r="23" spans="1:70" s="98" customFormat="1" ht="21" x14ac:dyDescent="0.25">
      <c r="A23" s="187" t="s">
        <v>123</v>
      </c>
      <c r="B23" s="187">
        <v>25000</v>
      </c>
      <c r="C23" s="44"/>
      <c r="D23" s="92"/>
      <c r="E23" s="93" t="s">
        <v>236</v>
      </c>
      <c r="F23" s="94" t="s">
        <v>165</v>
      </c>
      <c r="G23" s="108"/>
      <c r="H23" s="2"/>
      <c r="I23" s="2"/>
      <c r="J23" s="2" t="s">
        <v>6</v>
      </c>
      <c r="K23" s="2" t="s">
        <v>6</v>
      </c>
      <c r="L23" s="2" t="s">
        <v>6</v>
      </c>
      <c r="M23" s="340" t="s">
        <v>7</v>
      </c>
      <c r="N23" s="18" t="s">
        <v>7</v>
      </c>
      <c r="O23" s="102"/>
      <c r="P23" s="265" t="s">
        <v>6</v>
      </c>
      <c r="Q23" s="266">
        <f t="shared" si="2"/>
        <v>0.61</v>
      </c>
      <c r="R23" s="263">
        <f t="shared" si="1"/>
        <v>42500</v>
      </c>
      <c r="S23" s="364">
        <v>13</v>
      </c>
      <c r="T23" s="365" t="s">
        <v>178</v>
      </c>
      <c r="U23" s="263"/>
      <c r="V23" s="256"/>
      <c r="W23" s="256"/>
      <c r="X23" s="256"/>
      <c r="Y23" s="237">
        <v>5</v>
      </c>
      <c r="Z23" s="246">
        <f t="shared" si="4"/>
        <v>111</v>
      </c>
      <c r="AA23" s="240">
        <f t="shared" si="3"/>
        <v>0.61</v>
      </c>
      <c r="AB23" s="246"/>
      <c r="AC23" s="248"/>
      <c r="AD23" s="246"/>
      <c r="AE23" s="246"/>
      <c r="AF23" s="246"/>
      <c r="AG23" s="246"/>
      <c r="AH23" s="246"/>
      <c r="AI23" s="246"/>
      <c r="AJ23" s="246"/>
      <c r="AK23" s="256"/>
      <c r="AL23" s="256"/>
      <c r="AM23" s="256"/>
      <c r="AN23" s="246"/>
      <c r="AO23" s="246"/>
      <c r="AP23" s="24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69"/>
      <c r="BH23" s="256"/>
      <c r="BI23" s="44"/>
      <c r="BJ23" s="44"/>
      <c r="BK23" s="44"/>
      <c r="BL23" s="44"/>
      <c r="BM23" s="44"/>
      <c r="BN23" s="44"/>
      <c r="BO23" s="44"/>
      <c r="BP23" s="44"/>
      <c r="BQ23" s="44"/>
      <c r="BR23" s="44"/>
    </row>
    <row r="24" spans="1:70" s="99" customFormat="1" ht="21" x14ac:dyDescent="0.25">
      <c r="A24" s="187" t="s">
        <v>124</v>
      </c>
      <c r="B24" s="187">
        <v>3000</v>
      </c>
      <c r="C24" s="47"/>
      <c r="D24" s="92"/>
      <c r="E24" s="93" t="s">
        <v>233</v>
      </c>
      <c r="F24" s="94" t="s">
        <v>167</v>
      </c>
      <c r="G24" s="95"/>
      <c r="H24" s="2"/>
      <c r="I24" s="2"/>
      <c r="J24" s="2" t="s">
        <v>6</v>
      </c>
      <c r="K24" s="2" t="s">
        <v>6</v>
      </c>
      <c r="L24" s="2" t="s">
        <v>6</v>
      </c>
      <c r="M24" s="340" t="s">
        <v>7</v>
      </c>
      <c r="N24" s="18" t="s">
        <v>7</v>
      </c>
      <c r="O24" s="102"/>
      <c r="P24" s="265" t="s">
        <v>6</v>
      </c>
      <c r="Q24" s="266">
        <v>2.95</v>
      </c>
      <c r="R24" s="263">
        <f t="shared" ref="R24:R42" si="5">R23+2500</f>
        <v>45000</v>
      </c>
      <c r="S24" s="364">
        <v>14</v>
      </c>
      <c r="T24" s="365" t="s">
        <v>179</v>
      </c>
      <c r="U24" s="263"/>
      <c r="V24" s="202"/>
      <c r="W24" s="202"/>
      <c r="X24" s="422"/>
      <c r="Y24" s="423" t="s">
        <v>7</v>
      </c>
      <c r="Z24" s="246"/>
      <c r="AA24" s="424" t="s">
        <v>7</v>
      </c>
      <c r="AB24" s="246"/>
      <c r="AC24" s="248"/>
      <c r="AD24" s="246"/>
      <c r="AE24" s="246"/>
      <c r="AF24" s="246"/>
      <c r="AG24" s="246"/>
      <c r="AH24" s="246"/>
      <c r="AI24" s="246"/>
      <c r="AJ24" s="246"/>
      <c r="AK24" s="202"/>
      <c r="AL24" s="202"/>
      <c r="AM24" s="202"/>
      <c r="AN24" s="246"/>
      <c r="AO24" s="246"/>
      <c r="AP24" s="246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71"/>
      <c r="BH24" s="202"/>
      <c r="BI24" s="47"/>
      <c r="BJ24" s="47"/>
      <c r="BK24" s="47"/>
      <c r="BL24" s="47"/>
      <c r="BM24" s="47"/>
      <c r="BN24" s="47"/>
      <c r="BO24" s="47"/>
      <c r="BP24" s="47"/>
      <c r="BQ24" s="47"/>
      <c r="BR24" s="47"/>
    </row>
    <row r="25" spans="1:70" s="99" customFormat="1" ht="21" customHeight="1" x14ac:dyDescent="0.3">
      <c r="A25" s="187" t="s">
        <v>42</v>
      </c>
      <c r="B25" s="187">
        <v>32500</v>
      </c>
      <c r="C25" s="47"/>
      <c r="D25" s="92"/>
      <c r="E25" s="93" t="s">
        <v>242</v>
      </c>
      <c r="F25" s="94" t="s">
        <v>165</v>
      </c>
      <c r="G25" s="95"/>
      <c r="H25" s="2"/>
      <c r="I25" s="2"/>
      <c r="J25" s="2" t="s">
        <v>6</v>
      </c>
      <c r="K25" s="2" t="s">
        <v>6</v>
      </c>
      <c r="L25" s="2" t="s">
        <v>6</v>
      </c>
      <c r="M25" s="340" t="s">
        <v>7</v>
      </c>
      <c r="N25" s="18" t="s">
        <v>7</v>
      </c>
      <c r="O25" s="102"/>
      <c r="P25" s="265" t="s">
        <v>6</v>
      </c>
      <c r="Q25" s="266">
        <f t="shared" ref="Q25:Q31" si="6">AA25</f>
        <v>2.4500000000000002</v>
      </c>
      <c r="R25" s="263">
        <f t="shared" si="5"/>
        <v>47500</v>
      </c>
      <c r="S25" s="364">
        <v>15</v>
      </c>
      <c r="T25" s="365" t="s">
        <v>138</v>
      </c>
      <c r="U25" s="263"/>
      <c r="V25" s="202"/>
      <c r="W25" s="202"/>
      <c r="X25" s="202"/>
      <c r="Y25" s="261">
        <v>20</v>
      </c>
      <c r="Z25" s="247">
        <f>Z23+Y25</f>
        <v>131</v>
      </c>
      <c r="AA25" s="240">
        <f t="shared" ref="AA25:AA31" si="7">ROUND(Y25/Y$17*AA$17,2)</f>
        <v>2.4500000000000002</v>
      </c>
      <c r="AB25" s="246"/>
      <c r="AC25" s="248"/>
      <c r="AD25" s="246"/>
      <c r="AE25" s="246"/>
      <c r="AF25" s="275"/>
      <c r="AG25" s="275"/>
      <c r="AH25" s="275"/>
      <c r="AI25" s="275"/>
      <c r="AJ25" s="275"/>
      <c r="AK25" s="202"/>
      <c r="AL25" s="202"/>
      <c r="AM25" s="202"/>
      <c r="AN25" s="246"/>
      <c r="AO25" s="246"/>
      <c r="AP25" s="246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71"/>
      <c r="BH25" s="202"/>
      <c r="BI25" s="47"/>
      <c r="BJ25" s="47"/>
      <c r="BK25" s="47"/>
      <c r="BL25" s="47"/>
      <c r="BM25" s="47"/>
      <c r="BN25" s="47"/>
      <c r="BO25" s="47"/>
      <c r="BP25" s="47"/>
      <c r="BQ25" s="47"/>
      <c r="BR25" s="47"/>
    </row>
    <row r="26" spans="1:70" s="99" customFormat="1" ht="21" customHeight="1" x14ac:dyDescent="0.3">
      <c r="A26" s="187" t="s">
        <v>41</v>
      </c>
      <c r="B26" s="187">
        <v>35000</v>
      </c>
      <c r="C26" s="47"/>
      <c r="D26" s="92"/>
      <c r="E26" s="93" t="s">
        <v>241</v>
      </c>
      <c r="F26" s="94" t="s">
        <v>165</v>
      </c>
      <c r="G26" s="95"/>
      <c r="H26" s="2"/>
      <c r="I26" s="2"/>
      <c r="J26" s="2" t="s">
        <v>6</v>
      </c>
      <c r="K26" s="2" t="s">
        <v>6</v>
      </c>
      <c r="L26" s="2" t="s">
        <v>6</v>
      </c>
      <c r="M26" s="340" t="s">
        <v>7</v>
      </c>
      <c r="N26" s="18" t="s">
        <v>7</v>
      </c>
      <c r="O26" s="102"/>
      <c r="P26" s="265" t="s">
        <v>6</v>
      </c>
      <c r="Q26" s="266">
        <f t="shared" si="6"/>
        <v>2.4500000000000002</v>
      </c>
      <c r="R26" s="263">
        <f t="shared" si="5"/>
        <v>50000</v>
      </c>
      <c r="S26" s="364">
        <v>16</v>
      </c>
      <c r="T26" s="365" t="s">
        <v>180</v>
      </c>
      <c r="U26" s="263"/>
      <c r="V26" s="202"/>
      <c r="W26" s="202"/>
      <c r="X26" s="202"/>
      <c r="Y26" s="237">
        <f>4+4*2*2</f>
        <v>20</v>
      </c>
      <c r="Z26" s="246">
        <f t="shared" si="4"/>
        <v>151</v>
      </c>
      <c r="AA26" s="240">
        <f t="shared" si="7"/>
        <v>2.4500000000000002</v>
      </c>
      <c r="AB26" s="246"/>
      <c r="AC26" s="248"/>
      <c r="AD26" s="246"/>
      <c r="AE26" s="246"/>
      <c r="AF26" s="275"/>
      <c r="AG26" s="275"/>
      <c r="AH26" s="275"/>
      <c r="AI26" s="275"/>
      <c r="AJ26" s="275"/>
      <c r="AK26" s="202"/>
      <c r="AL26" s="202"/>
      <c r="AM26" s="202"/>
      <c r="AN26" s="246"/>
      <c r="AO26" s="246"/>
      <c r="AP26" s="246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71"/>
      <c r="BH26" s="202"/>
      <c r="BI26" s="47"/>
      <c r="BJ26" s="47"/>
      <c r="BK26" s="47"/>
      <c r="BL26" s="47"/>
      <c r="BM26" s="47"/>
      <c r="BN26" s="47"/>
      <c r="BO26" s="47"/>
      <c r="BP26" s="47"/>
      <c r="BQ26" s="47"/>
      <c r="BR26" s="47"/>
    </row>
    <row r="27" spans="1:70" s="99" customFormat="1" ht="21" x14ac:dyDescent="0.25">
      <c r="A27" s="187" t="s">
        <v>46</v>
      </c>
      <c r="B27" s="187">
        <v>37500</v>
      </c>
      <c r="C27" s="47"/>
      <c r="D27" s="92"/>
      <c r="E27" s="93" t="s">
        <v>239</v>
      </c>
      <c r="F27" s="94" t="s">
        <v>165</v>
      </c>
      <c r="G27" s="95"/>
      <c r="H27" s="2"/>
      <c r="I27" s="2"/>
      <c r="J27" s="2" t="s">
        <v>6</v>
      </c>
      <c r="K27" s="2" t="s">
        <v>6</v>
      </c>
      <c r="L27" s="2" t="s">
        <v>6</v>
      </c>
      <c r="M27" s="340" t="s">
        <v>7</v>
      </c>
      <c r="N27" s="18" t="s">
        <v>7</v>
      </c>
      <c r="O27" s="102"/>
      <c r="P27" s="265" t="s">
        <v>6</v>
      </c>
      <c r="Q27" s="266">
        <f t="shared" si="6"/>
        <v>0.49</v>
      </c>
      <c r="R27" s="263">
        <f t="shared" si="5"/>
        <v>52500</v>
      </c>
      <c r="S27" s="364">
        <v>17</v>
      </c>
      <c r="T27" s="365" t="s">
        <v>181</v>
      </c>
      <c r="U27" s="263"/>
      <c r="V27" s="202"/>
      <c r="W27" s="202"/>
      <c r="X27" s="202"/>
      <c r="Y27" s="202">
        <v>4</v>
      </c>
      <c r="Z27" s="246">
        <f t="shared" si="4"/>
        <v>155</v>
      </c>
      <c r="AA27" s="240">
        <f t="shared" si="7"/>
        <v>0.49</v>
      </c>
      <c r="AB27" s="198"/>
      <c r="AC27" s="198"/>
      <c r="AD27" s="246"/>
      <c r="AE27" s="246"/>
      <c r="AF27" s="202"/>
      <c r="AG27" s="198"/>
      <c r="AH27" s="198"/>
      <c r="AI27" s="198"/>
      <c r="AJ27" s="198"/>
      <c r="AK27" s="198"/>
      <c r="AL27" s="198"/>
      <c r="AM27" s="198"/>
      <c r="AN27" s="246"/>
      <c r="AO27" s="246"/>
      <c r="AP27" s="246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71"/>
      <c r="BH27" s="202"/>
      <c r="BI27" s="47"/>
      <c r="BJ27" s="47"/>
      <c r="BK27" s="47"/>
      <c r="BL27" s="47"/>
      <c r="BM27" s="47"/>
      <c r="BN27" s="47"/>
      <c r="BO27" s="47"/>
      <c r="BP27" s="47"/>
      <c r="BQ27" s="47"/>
      <c r="BR27" s="47"/>
    </row>
    <row r="28" spans="1:70" s="99" customFormat="1" ht="21" x14ac:dyDescent="0.25">
      <c r="A28" s="187" t="s">
        <v>125</v>
      </c>
      <c r="B28" s="187">
        <v>40000</v>
      </c>
      <c r="C28" s="47"/>
      <c r="D28" s="92"/>
      <c r="E28" s="93" t="s">
        <v>244</v>
      </c>
      <c r="F28" s="94" t="s">
        <v>165</v>
      </c>
      <c r="G28" s="95"/>
      <c r="H28" s="2"/>
      <c r="I28" s="2"/>
      <c r="J28" s="2" t="s">
        <v>6</v>
      </c>
      <c r="K28" s="2" t="s">
        <v>6</v>
      </c>
      <c r="L28" s="2" t="s">
        <v>6</v>
      </c>
      <c r="M28" s="340" t="s">
        <v>7</v>
      </c>
      <c r="N28" s="18" t="s">
        <v>7</v>
      </c>
      <c r="O28" s="102"/>
      <c r="P28" s="265" t="s">
        <v>6</v>
      </c>
      <c r="Q28" s="266">
        <f t="shared" si="6"/>
        <v>0.61</v>
      </c>
      <c r="R28" s="263">
        <f t="shared" si="5"/>
        <v>55000</v>
      </c>
      <c r="S28" s="364">
        <v>18</v>
      </c>
      <c r="T28" s="365" t="s">
        <v>182</v>
      </c>
      <c r="U28" s="263"/>
      <c r="V28" s="202"/>
      <c r="W28" s="202"/>
      <c r="X28" s="202"/>
      <c r="Y28" s="202">
        <v>5</v>
      </c>
      <c r="Z28" s="246">
        <f t="shared" si="4"/>
        <v>160</v>
      </c>
      <c r="AA28" s="240">
        <f t="shared" si="7"/>
        <v>0.61</v>
      </c>
      <c r="AB28" s="198"/>
      <c r="AC28" s="198"/>
      <c r="AD28" s="246"/>
      <c r="AE28" s="246"/>
      <c r="AF28" s="202"/>
      <c r="AG28" s="198"/>
      <c r="AH28" s="198"/>
      <c r="AI28" s="198"/>
      <c r="AJ28" s="198"/>
      <c r="AK28" s="198"/>
      <c r="AL28" s="198"/>
      <c r="AM28" s="198"/>
      <c r="AN28" s="246"/>
      <c r="AO28" s="246"/>
      <c r="AP28" s="246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71"/>
      <c r="BH28" s="202"/>
      <c r="BI28" s="47"/>
      <c r="BJ28" s="47"/>
      <c r="BK28" s="47"/>
      <c r="BL28" s="47"/>
      <c r="BM28" s="47"/>
      <c r="BN28" s="47"/>
      <c r="BO28" s="47"/>
      <c r="BP28" s="47"/>
      <c r="BQ28" s="47"/>
      <c r="BR28" s="47"/>
    </row>
    <row r="29" spans="1:70" s="99" customFormat="1" ht="21" x14ac:dyDescent="0.25">
      <c r="A29" s="187" t="s">
        <v>50</v>
      </c>
      <c r="B29" s="187">
        <v>42500</v>
      </c>
      <c r="C29" s="47"/>
      <c r="D29" s="92"/>
      <c r="E29" s="93" t="s">
        <v>246</v>
      </c>
      <c r="F29" s="94" t="s">
        <v>165</v>
      </c>
      <c r="G29" s="95"/>
      <c r="H29" s="2"/>
      <c r="I29" s="2"/>
      <c r="J29" s="2" t="s">
        <v>6</v>
      </c>
      <c r="K29" s="2" t="s">
        <v>6</v>
      </c>
      <c r="L29" s="2" t="s">
        <v>6</v>
      </c>
      <c r="M29" s="340" t="s">
        <v>7</v>
      </c>
      <c r="N29" s="18" t="s">
        <v>7</v>
      </c>
      <c r="O29" s="102"/>
      <c r="P29" s="265" t="s">
        <v>6</v>
      </c>
      <c r="Q29" s="266">
        <f t="shared" si="6"/>
        <v>2.4500000000000002</v>
      </c>
      <c r="R29" s="263">
        <f t="shared" si="5"/>
        <v>57500</v>
      </c>
      <c r="S29" s="364">
        <v>19</v>
      </c>
      <c r="T29" s="365" t="s">
        <v>183</v>
      </c>
      <c r="U29" s="263"/>
      <c r="V29" s="202"/>
      <c r="W29" s="202"/>
      <c r="X29" s="202"/>
      <c r="Y29" s="261">
        <v>20</v>
      </c>
      <c r="Z29" s="247">
        <f t="shared" si="4"/>
        <v>180</v>
      </c>
      <c r="AA29" s="240">
        <f t="shared" si="7"/>
        <v>2.4500000000000002</v>
      </c>
      <c r="AB29" s="198"/>
      <c r="AC29" s="198"/>
      <c r="AD29" s="246"/>
      <c r="AE29" s="246"/>
      <c r="AF29" s="202"/>
      <c r="AG29" s="198"/>
      <c r="AH29" s="198"/>
      <c r="AI29" s="198"/>
      <c r="AJ29" s="198"/>
      <c r="AK29" s="198"/>
      <c r="AL29" s="198"/>
      <c r="AM29" s="198"/>
      <c r="AN29" s="246"/>
      <c r="AO29" s="246"/>
      <c r="AP29" s="246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71"/>
      <c r="BH29" s="202"/>
      <c r="BI29" s="47"/>
      <c r="BJ29" s="47"/>
      <c r="BK29" s="47"/>
      <c r="BL29" s="47"/>
      <c r="BM29" s="47"/>
      <c r="BN29" s="47"/>
      <c r="BO29" s="47"/>
      <c r="BP29" s="47"/>
      <c r="BQ29" s="47"/>
      <c r="BR29" s="47"/>
    </row>
    <row r="30" spans="1:70" s="99" customFormat="1" ht="21" x14ac:dyDescent="0.25">
      <c r="A30" s="187" t="s">
        <v>51</v>
      </c>
      <c r="B30" s="187">
        <v>47500</v>
      </c>
      <c r="C30" s="47"/>
      <c r="D30" s="92"/>
      <c r="E30" s="93" t="s">
        <v>251</v>
      </c>
      <c r="F30" s="94" t="s">
        <v>165</v>
      </c>
      <c r="G30" s="95"/>
      <c r="H30" s="2"/>
      <c r="I30" s="2"/>
      <c r="J30" s="2" t="s">
        <v>6</v>
      </c>
      <c r="K30" s="2" t="s">
        <v>6</v>
      </c>
      <c r="L30" s="2" t="s">
        <v>6</v>
      </c>
      <c r="M30" s="340" t="s">
        <v>7</v>
      </c>
      <c r="N30" s="18" t="s">
        <v>7</v>
      </c>
      <c r="O30" s="102"/>
      <c r="P30" s="265" t="s">
        <v>6</v>
      </c>
      <c r="Q30" s="266">
        <f t="shared" si="6"/>
        <v>1.23</v>
      </c>
      <c r="R30" s="263">
        <f t="shared" si="5"/>
        <v>60000</v>
      </c>
      <c r="S30" s="364">
        <v>20</v>
      </c>
      <c r="T30" s="365" t="s">
        <v>184</v>
      </c>
      <c r="U30" s="325"/>
      <c r="V30" s="202"/>
      <c r="W30" s="202"/>
      <c r="X30" s="202"/>
      <c r="Y30" s="237">
        <f>2+2*2*2</f>
        <v>10</v>
      </c>
      <c r="Z30" s="246">
        <f t="shared" si="4"/>
        <v>190</v>
      </c>
      <c r="AA30" s="240">
        <f t="shared" si="7"/>
        <v>1.23</v>
      </c>
      <c r="AB30" s="198"/>
      <c r="AC30" s="198"/>
      <c r="AD30" s="246"/>
      <c r="AE30" s="246"/>
      <c r="AF30" s="202"/>
      <c r="AG30" s="198"/>
      <c r="AH30" s="198"/>
      <c r="AI30" s="198"/>
      <c r="AJ30" s="198"/>
      <c r="AK30" s="198"/>
      <c r="AL30" s="198"/>
      <c r="AM30" s="198"/>
      <c r="AN30" s="246"/>
      <c r="AO30" s="246"/>
      <c r="AP30" s="246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71"/>
      <c r="BH30" s="202"/>
      <c r="BI30" s="47"/>
      <c r="BJ30" s="47"/>
      <c r="BK30" s="47"/>
      <c r="BL30" s="47"/>
      <c r="BM30" s="47"/>
      <c r="BN30" s="47"/>
      <c r="BO30" s="47"/>
      <c r="BP30" s="47"/>
      <c r="BQ30" s="47"/>
      <c r="BR30" s="47"/>
    </row>
    <row r="31" spans="1:70" s="99" customFormat="1" ht="21" x14ac:dyDescent="0.25">
      <c r="A31" s="187" t="s">
        <v>127</v>
      </c>
      <c r="B31" s="187">
        <v>50000</v>
      </c>
      <c r="C31" s="47"/>
      <c r="D31" s="92"/>
      <c r="E31" s="93" t="s">
        <v>252</v>
      </c>
      <c r="F31" s="94" t="s">
        <v>165</v>
      </c>
      <c r="G31" s="95"/>
      <c r="H31" s="2"/>
      <c r="I31" s="2"/>
      <c r="J31" s="2" t="s">
        <v>6</v>
      </c>
      <c r="K31" s="2" t="s">
        <v>6</v>
      </c>
      <c r="L31" s="2" t="s">
        <v>6</v>
      </c>
      <c r="M31" s="340" t="s">
        <v>7</v>
      </c>
      <c r="N31" s="18" t="s">
        <v>7</v>
      </c>
      <c r="O31" s="102"/>
      <c r="P31" s="265" t="s">
        <v>6</v>
      </c>
      <c r="Q31" s="266">
        <f t="shared" si="6"/>
        <v>1.84</v>
      </c>
      <c r="R31" s="263">
        <f t="shared" si="5"/>
        <v>62500</v>
      </c>
      <c r="S31" s="364">
        <v>21</v>
      </c>
      <c r="T31" s="365" t="s">
        <v>260</v>
      </c>
      <c r="U31" s="251"/>
      <c r="V31" s="202"/>
      <c r="W31" s="202"/>
      <c r="X31" s="202"/>
      <c r="Y31" s="261">
        <v>15</v>
      </c>
      <c r="Z31" s="247">
        <f t="shared" si="4"/>
        <v>205</v>
      </c>
      <c r="AA31" s="240">
        <f t="shared" si="7"/>
        <v>1.84</v>
      </c>
      <c r="AB31" s="198"/>
      <c r="AC31" s="198"/>
      <c r="AD31" s="246"/>
      <c r="AE31" s="246"/>
      <c r="AF31" s="202"/>
      <c r="AG31" s="198"/>
      <c r="AH31" s="198"/>
      <c r="AI31" s="198"/>
      <c r="AJ31" s="198"/>
      <c r="AK31" s="198"/>
      <c r="AL31" s="198"/>
      <c r="AM31" s="198"/>
      <c r="AN31" s="246"/>
      <c r="AO31" s="246"/>
      <c r="AP31" s="246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71"/>
      <c r="BH31" s="202"/>
      <c r="BI31" s="47"/>
      <c r="BJ31" s="47"/>
      <c r="BK31" s="47"/>
      <c r="BL31" s="47"/>
      <c r="BM31" s="47"/>
      <c r="BN31" s="47"/>
      <c r="BO31" s="47"/>
      <c r="BP31" s="47"/>
      <c r="BQ31" s="47"/>
      <c r="BR31" s="47"/>
    </row>
    <row r="32" spans="1:70" s="99" customFormat="1" ht="21" x14ac:dyDescent="0.25">
      <c r="A32" s="187" t="s">
        <v>128</v>
      </c>
      <c r="B32" s="187">
        <v>52500</v>
      </c>
      <c r="C32" s="47"/>
      <c r="D32" s="92"/>
      <c r="E32" s="93" t="s">
        <v>287</v>
      </c>
      <c r="F32" s="94" t="s">
        <v>165</v>
      </c>
      <c r="G32" s="95"/>
      <c r="H32" s="2"/>
      <c r="I32" s="2"/>
      <c r="J32" s="2" t="s">
        <v>6</v>
      </c>
      <c r="K32" s="2" t="s">
        <v>6</v>
      </c>
      <c r="L32" s="2" t="s">
        <v>6</v>
      </c>
      <c r="M32" s="340" t="s">
        <v>7</v>
      </c>
      <c r="N32" s="18" t="s">
        <v>7</v>
      </c>
      <c r="O32" s="102"/>
      <c r="P32" s="265" t="s">
        <v>6</v>
      </c>
      <c r="Q32" s="266">
        <f>AA32</f>
        <v>0.74</v>
      </c>
      <c r="R32" s="263">
        <f t="shared" si="5"/>
        <v>65000</v>
      </c>
      <c r="S32" s="364">
        <v>22</v>
      </c>
      <c r="T32" s="365" t="s">
        <v>271</v>
      </c>
      <c r="U32" s="251"/>
      <c r="V32" s="202"/>
      <c r="W32" s="202"/>
      <c r="X32" s="202"/>
      <c r="Y32" s="202">
        <v>6</v>
      </c>
      <c r="Z32" s="246">
        <f t="shared" si="4"/>
        <v>211</v>
      </c>
      <c r="AA32" s="240">
        <f>ROUND(Y32/Y$17*AA$17,2)</f>
        <v>0.74</v>
      </c>
      <c r="AB32" s="198"/>
      <c r="AC32" s="198"/>
      <c r="AD32" s="246"/>
      <c r="AE32" s="246"/>
      <c r="AF32" s="202"/>
      <c r="AG32" s="198"/>
      <c r="AH32" s="198"/>
      <c r="AI32" s="198"/>
      <c r="AJ32" s="198"/>
      <c r="AK32" s="198"/>
      <c r="AL32" s="198"/>
      <c r="AM32" s="198"/>
      <c r="AN32" s="246"/>
      <c r="AO32" s="246"/>
      <c r="AP32" s="246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71"/>
      <c r="BH32" s="202"/>
      <c r="BI32" s="47"/>
      <c r="BJ32" s="47"/>
      <c r="BK32" s="47"/>
      <c r="BL32" s="47"/>
      <c r="BM32" s="47"/>
      <c r="BN32" s="47"/>
      <c r="BO32" s="47"/>
      <c r="BP32" s="47"/>
      <c r="BQ32" s="47"/>
      <c r="BR32" s="47"/>
    </row>
    <row r="33" spans="1:70" s="99" customFormat="1" ht="21" x14ac:dyDescent="0.25">
      <c r="A33" s="187" t="s">
        <v>129</v>
      </c>
      <c r="B33" s="187">
        <v>55000</v>
      </c>
      <c r="C33" s="47"/>
      <c r="D33" s="92"/>
      <c r="E33" s="93" t="s">
        <v>254</v>
      </c>
      <c r="F33" s="94" t="s">
        <v>165</v>
      </c>
      <c r="G33" s="95"/>
      <c r="H33" s="2"/>
      <c r="I33" s="2"/>
      <c r="J33" s="2" t="s">
        <v>6</v>
      </c>
      <c r="K33" s="2" t="s">
        <v>6</v>
      </c>
      <c r="L33" s="2" t="s">
        <v>6</v>
      </c>
      <c r="M33" s="340" t="s">
        <v>7</v>
      </c>
      <c r="N33" s="18" t="s">
        <v>7</v>
      </c>
      <c r="O33" s="102"/>
      <c r="P33" s="265" t="s">
        <v>6</v>
      </c>
      <c r="Q33" s="266">
        <f>AA33</f>
        <v>0.61</v>
      </c>
      <c r="R33" s="263">
        <f t="shared" si="5"/>
        <v>67500</v>
      </c>
      <c r="S33" s="364">
        <v>23</v>
      </c>
      <c r="T33" s="365" t="s">
        <v>272</v>
      </c>
      <c r="U33" s="325"/>
      <c r="V33" s="202"/>
      <c r="W33" s="202"/>
      <c r="X33" s="202"/>
      <c r="Y33" s="202">
        <v>5</v>
      </c>
      <c r="Z33" s="246">
        <f t="shared" si="4"/>
        <v>216</v>
      </c>
      <c r="AA33" s="240">
        <f>ROUND(Y33/Y$17*AA$17,2)</f>
        <v>0.61</v>
      </c>
      <c r="AB33" s="198"/>
      <c r="AC33" s="198"/>
      <c r="AD33" s="246"/>
      <c r="AE33" s="246"/>
      <c r="AF33" s="202"/>
      <c r="AG33" s="198"/>
      <c r="AH33" s="198"/>
      <c r="AI33" s="198"/>
      <c r="AJ33" s="198"/>
      <c r="AK33" s="198"/>
      <c r="AL33" s="198"/>
      <c r="AM33" s="198"/>
      <c r="AN33" s="246"/>
      <c r="AO33" s="246"/>
      <c r="AP33" s="246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71"/>
      <c r="BH33" s="202"/>
      <c r="BI33" s="47"/>
      <c r="BJ33" s="47"/>
      <c r="BK33" s="47"/>
      <c r="BL33" s="47"/>
      <c r="BM33" s="47"/>
      <c r="BN33" s="47"/>
      <c r="BO33" s="47"/>
      <c r="BP33" s="47"/>
      <c r="BQ33" s="47"/>
      <c r="BR33" s="47"/>
    </row>
    <row r="34" spans="1:70" s="99" customFormat="1" ht="21" x14ac:dyDescent="0.25">
      <c r="A34" s="187" t="s">
        <v>133</v>
      </c>
      <c r="B34" s="187">
        <v>57500</v>
      </c>
      <c r="C34" s="47"/>
      <c r="D34" s="92"/>
      <c r="E34" s="93" t="s">
        <v>257</v>
      </c>
      <c r="F34" s="94" t="s">
        <v>165</v>
      </c>
      <c r="G34" s="95"/>
      <c r="H34" s="2"/>
      <c r="I34" s="2"/>
      <c r="J34" s="2" t="s">
        <v>6</v>
      </c>
      <c r="K34" s="2" t="s">
        <v>6</v>
      </c>
      <c r="L34" s="2" t="s">
        <v>6</v>
      </c>
      <c r="M34" s="340" t="s">
        <v>7</v>
      </c>
      <c r="N34" s="18" t="s">
        <v>7</v>
      </c>
      <c r="O34" s="102"/>
      <c r="P34" s="265" t="s">
        <v>6</v>
      </c>
      <c r="Q34" s="266">
        <f>AA34</f>
        <v>0.49</v>
      </c>
      <c r="R34" s="263">
        <f t="shared" si="5"/>
        <v>70000</v>
      </c>
      <c r="S34" s="364">
        <v>24</v>
      </c>
      <c r="T34" s="365" t="s">
        <v>279</v>
      </c>
      <c r="U34" s="272"/>
      <c r="V34" s="202"/>
      <c r="W34" s="202"/>
      <c r="X34" s="202"/>
      <c r="Y34" s="202">
        <v>4</v>
      </c>
      <c r="Z34" s="246">
        <f t="shared" si="4"/>
        <v>220</v>
      </c>
      <c r="AA34" s="240">
        <f>ROUND(Y34/Y$17*AA$17,2)</f>
        <v>0.49</v>
      </c>
      <c r="AB34" s="198"/>
      <c r="AC34" s="198"/>
      <c r="AD34" s="246"/>
      <c r="AE34" s="246"/>
      <c r="AF34" s="202"/>
      <c r="AG34" s="198"/>
      <c r="AH34" s="198"/>
      <c r="AI34" s="198"/>
      <c r="AJ34" s="198"/>
      <c r="AK34" s="198"/>
      <c r="AL34" s="198"/>
      <c r="AM34" s="198"/>
      <c r="AN34" s="246"/>
      <c r="AO34" s="246"/>
      <c r="AP34" s="246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71"/>
      <c r="BH34" s="202"/>
      <c r="BI34" s="47"/>
      <c r="BJ34" s="47"/>
      <c r="BK34" s="47"/>
      <c r="BL34" s="47"/>
      <c r="BM34" s="47"/>
      <c r="BN34" s="47"/>
      <c r="BO34" s="47"/>
      <c r="BP34" s="47"/>
      <c r="BQ34" s="47"/>
      <c r="BR34" s="47"/>
    </row>
    <row r="35" spans="1:70" s="8" customFormat="1" ht="21" x14ac:dyDescent="0.25">
      <c r="A35" s="186"/>
      <c r="B35" s="186"/>
      <c r="C35" s="33"/>
      <c r="D35" s="9"/>
      <c r="E35" s="15" t="s">
        <v>247</v>
      </c>
      <c r="F35" s="11" t="s">
        <v>153</v>
      </c>
      <c r="G35" s="16"/>
      <c r="H35" s="1" t="s">
        <v>6</v>
      </c>
      <c r="I35" s="3"/>
      <c r="J35" s="2"/>
      <c r="K35" s="2" t="s">
        <v>6</v>
      </c>
      <c r="L35" s="2" t="s">
        <v>6</v>
      </c>
      <c r="M35" s="339">
        <v>20</v>
      </c>
      <c r="N35" s="13">
        <v>19.95</v>
      </c>
      <c r="O35" s="100"/>
      <c r="P35" s="204" t="s">
        <v>6</v>
      </c>
      <c r="Q35" s="251"/>
      <c r="R35" s="263">
        <f t="shared" si="5"/>
        <v>72500</v>
      </c>
      <c r="S35" s="364">
        <v>25</v>
      </c>
      <c r="T35" s="365" t="s">
        <v>292</v>
      </c>
      <c r="U35" s="272"/>
      <c r="V35" s="251"/>
      <c r="W35" s="251"/>
      <c r="X35" s="251"/>
      <c r="Y35" s="251"/>
      <c r="Z35" s="246"/>
      <c r="AA35" s="246"/>
      <c r="AB35" s="255"/>
      <c r="AC35" s="255"/>
      <c r="AD35" s="246"/>
      <c r="AE35" s="246"/>
      <c r="AF35" s="202"/>
      <c r="AG35" s="255"/>
      <c r="AH35" s="255"/>
      <c r="AI35" s="255"/>
      <c r="AJ35" s="255"/>
      <c r="AK35" s="255"/>
      <c r="AL35" s="255"/>
      <c r="AM35" s="255"/>
      <c r="AN35" s="246"/>
      <c r="AO35" s="246"/>
      <c r="AP35" s="246"/>
      <c r="AQ35" s="251"/>
      <c r="AR35" s="256"/>
      <c r="AS35" s="256"/>
      <c r="AT35" s="251"/>
      <c r="AU35" s="251"/>
      <c r="AV35" s="256"/>
      <c r="AW35" s="256"/>
      <c r="AX35" s="251"/>
      <c r="AY35" s="251"/>
      <c r="AZ35" s="256"/>
      <c r="BA35" s="256"/>
      <c r="BB35" s="251"/>
      <c r="BC35" s="251"/>
      <c r="BD35" s="251"/>
      <c r="BE35" s="256"/>
      <c r="BF35" s="256"/>
      <c r="BG35" s="257"/>
      <c r="BH35" s="251"/>
      <c r="BI35" s="33"/>
      <c r="BJ35" s="33"/>
      <c r="BK35" s="33"/>
      <c r="BL35" s="33"/>
      <c r="BM35" s="33"/>
      <c r="BN35" s="33"/>
      <c r="BO35" s="33"/>
      <c r="BP35" s="33"/>
      <c r="BQ35" s="33"/>
      <c r="BR35" s="33"/>
    </row>
    <row r="36" spans="1:70" s="8" customFormat="1" ht="21" x14ac:dyDescent="0.25">
      <c r="A36" s="186"/>
      <c r="B36" s="186"/>
      <c r="C36" s="33"/>
      <c r="D36" s="9"/>
      <c r="E36" s="10" t="s">
        <v>152</v>
      </c>
      <c r="F36" s="11" t="s">
        <v>153</v>
      </c>
      <c r="G36" s="14"/>
      <c r="H36" s="1" t="s">
        <v>6</v>
      </c>
      <c r="I36" s="2"/>
      <c r="J36" s="2"/>
      <c r="K36" s="2" t="s">
        <v>6</v>
      </c>
      <c r="L36" s="2" t="s">
        <v>6</v>
      </c>
      <c r="M36" s="339">
        <v>20</v>
      </c>
      <c r="N36" s="13">
        <v>19.95</v>
      </c>
      <c r="O36" s="100"/>
      <c r="P36" s="204" t="s">
        <v>6</v>
      </c>
      <c r="Q36" s="251"/>
      <c r="R36" s="263">
        <f t="shared" si="5"/>
        <v>75000</v>
      </c>
      <c r="S36" s="364">
        <v>26</v>
      </c>
      <c r="T36" s="365" t="s">
        <v>293</v>
      </c>
      <c r="U36" s="272"/>
      <c r="V36" s="251"/>
      <c r="W36" s="251"/>
      <c r="X36" s="251"/>
      <c r="Y36" s="251"/>
      <c r="Z36" s="246"/>
      <c r="AA36" s="246"/>
      <c r="AB36" s="255"/>
      <c r="AC36" s="255"/>
      <c r="AD36" s="246"/>
      <c r="AE36" s="246"/>
      <c r="AF36" s="251"/>
      <c r="AG36" s="255"/>
      <c r="AH36" s="255"/>
      <c r="AI36" s="255"/>
      <c r="AJ36" s="255"/>
      <c r="AK36" s="255"/>
      <c r="AL36" s="255"/>
      <c r="AM36" s="255"/>
      <c r="AN36" s="246"/>
      <c r="AO36" s="246"/>
      <c r="AP36" s="246"/>
      <c r="AQ36" s="251"/>
      <c r="AR36" s="256"/>
      <c r="AS36" s="256"/>
      <c r="AT36" s="251"/>
      <c r="AU36" s="251"/>
      <c r="AV36" s="256"/>
      <c r="AW36" s="256"/>
      <c r="AX36" s="251"/>
      <c r="AY36" s="251"/>
      <c r="AZ36" s="256"/>
      <c r="BA36" s="256"/>
      <c r="BB36" s="251"/>
      <c r="BC36" s="251"/>
      <c r="BD36" s="251"/>
      <c r="BE36" s="256"/>
      <c r="BF36" s="256"/>
      <c r="BG36" s="257"/>
      <c r="BH36" s="251"/>
      <c r="BI36" s="33"/>
      <c r="BJ36" s="33"/>
      <c r="BK36" s="33"/>
      <c r="BL36" s="33"/>
      <c r="BM36" s="33"/>
      <c r="BN36" s="33"/>
      <c r="BO36" s="33"/>
      <c r="BP36" s="33"/>
      <c r="BQ36" s="33"/>
      <c r="BR36" s="33"/>
    </row>
    <row r="37" spans="1:70" s="8" customFormat="1" ht="21" x14ac:dyDescent="0.25">
      <c r="A37" s="186"/>
      <c r="B37" s="186"/>
      <c r="C37" s="33"/>
      <c r="D37" s="9"/>
      <c r="E37" s="10" t="s">
        <v>186</v>
      </c>
      <c r="F37" s="11" t="s">
        <v>167</v>
      </c>
      <c r="G37" s="1"/>
      <c r="H37" s="1" t="s">
        <v>6</v>
      </c>
      <c r="I37" s="1" t="s">
        <v>6</v>
      </c>
      <c r="J37" s="1" t="s">
        <v>6</v>
      </c>
      <c r="K37" s="1" t="s">
        <v>6</v>
      </c>
      <c r="L37" s="1" t="s">
        <v>6</v>
      </c>
      <c r="M37" s="339" t="s">
        <v>7</v>
      </c>
      <c r="N37" s="13">
        <v>2.95</v>
      </c>
      <c r="O37" s="101" t="s">
        <v>8</v>
      </c>
      <c r="P37" s="204" t="s">
        <v>6</v>
      </c>
      <c r="Q37" s="251"/>
      <c r="R37" s="263">
        <f t="shared" si="5"/>
        <v>77500</v>
      </c>
      <c r="S37" s="364">
        <v>27</v>
      </c>
      <c r="T37" s="365" t="s">
        <v>295</v>
      </c>
      <c r="U37" s="272"/>
      <c r="V37" s="251"/>
      <c r="W37" s="251"/>
      <c r="X37" s="251"/>
      <c r="Y37" s="251"/>
      <c r="Z37" s="246"/>
      <c r="AA37" s="246"/>
      <c r="AB37" s="246"/>
      <c r="AC37" s="248"/>
      <c r="AD37" s="246"/>
      <c r="AE37" s="246"/>
      <c r="AF37" s="251"/>
      <c r="AG37" s="255"/>
      <c r="AH37" s="255"/>
      <c r="AI37" s="255"/>
      <c r="AJ37" s="255"/>
      <c r="AK37" s="255"/>
      <c r="AL37" s="255"/>
      <c r="AM37" s="255"/>
      <c r="AN37" s="246"/>
      <c r="AO37" s="246"/>
      <c r="AP37" s="246"/>
      <c r="AQ37" s="251"/>
      <c r="AR37" s="256"/>
      <c r="AS37" s="256"/>
      <c r="AT37" s="251"/>
      <c r="AU37" s="251"/>
      <c r="AV37" s="256"/>
      <c r="AW37" s="256"/>
      <c r="AX37" s="251"/>
      <c r="AY37" s="251"/>
      <c r="AZ37" s="256"/>
      <c r="BA37" s="256"/>
      <c r="BB37" s="251"/>
      <c r="BC37" s="251"/>
      <c r="BD37" s="251"/>
      <c r="BE37" s="256"/>
      <c r="BF37" s="256"/>
      <c r="BG37" s="257"/>
      <c r="BH37" s="251"/>
      <c r="BI37" s="33"/>
      <c r="BJ37" s="33"/>
      <c r="BK37" s="33"/>
      <c r="BL37" s="33"/>
      <c r="BM37" s="33"/>
      <c r="BN37" s="33"/>
      <c r="BO37" s="33"/>
      <c r="BP37" s="33"/>
      <c r="BQ37" s="33"/>
      <c r="BR37" s="33"/>
    </row>
    <row r="38" spans="1:70" ht="21" x14ac:dyDescent="0.3">
      <c r="D38" s="28"/>
      <c r="E38" s="25" t="s">
        <v>151</v>
      </c>
      <c r="F38" s="26" t="s">
        <v>153</v>
      </c>
      <c r="G38" s="30"/>
      <c r="H38" s="31"/>
      <c r="I38" s="31" t="s">
        <v>6</v>
      </c>
      <c r="J38" s="31"/>
      <c r="K38" s="31"/>
      <c r="L38" s="31" t="s">
        <v>6</v>
      </c>
      <c r="M38" s="39">
        <v>44.95</v>
      </c>
      <c r="N38" s="41">
        <v>44.95</v>
      </c>
      <c r="O38" s="103" t="s">
        <v>27</v>
      </c>
      <c r="P38" s="204" t="s">
        <v>6</v>
      </c>
      <c r="R38" s="263">
        <f t="shared" si="5"/>
        <v>80000</v>
      </c>
      <c r="S38" s="364">
        <v>28</v>
      </c>
      <c r="T38" s="365" t="s">
        <v>296</v>
      </c>
      <c r="U38" s="272"/>
      <c r="W38" s="232"/>
      <c r="Z38" s="246"/>
      <c r="AA38" s="246"/>
      <c r="AB38" s="246"/>
      <c r="AC38" s="248"/>
      <c r="AD38" s="246"/>
      <c r="AE38" s="246"/>
      <c r="AJ38" s="201"/>
      <c r="AN38" s="246"/>
      <c r="AO38" s="246"/>
      <c r="AP38" s="246"/>
    </row>
    <row r="39" spans="1:70" ht="21" collapsed="1" x14ac:dyDescent="0.3">
      <c r="D39" s="24"/>
      <c r="E39" s="27" t="s">
        <v>149</v>
      </c>
      <c r="F39" s="26" t="s">
        <v>153</v>
      </c>
      <c r="G39" s="30"/>
      <c r="H39" s="31"/>
      <c r="I39" s="31" t="s">
        <v>6</v>
      </c>
      <c r="J39" s="31"/>
      <c r="K39" s="31"/>
      <c r="L39" s="31" t="s">
        <v>6</v>
      </c>
      <c r="M39" s="39">
        <v>34.950000000000003</v>
      </c>
      <c r="N39" s="41">
        <v>34.950000000000003</v>
      </c>
      <c r="O39" s="103" t="s">
        <v>27</v>
      </c>
      <c r="P39" s="204" t="s">
        <v>6</v>
      </c>
      <c r="R39" s="263">
        <f t="shared" si="5"/>
        <v>82500</v>
      </c>
      <c r="S39" s="364">
        <v>29</v>
      </c>
      <c r="T39" s="365" t="s">
        <v>305</v>
      </c>
      <c r="U39" s="263"/>
      <c r="V39" s="232"/>
      <c r="W39" s="232"/>
      <c r="Z39" s="246"/>
      <c r="AA39" s="246"/>
      <c r="AB39" s="246"/>
      <c r="AC39" s="248"/>
      <c r="AD39" s="246"/>
      <c r="AE39" s="246"/>
      <c r="AJ39" s="201"/>
      <c r="AN39" s="246"/>
      <c r="AO39" s="246"/>
      <c r="AP39" s="246"/>
    </row>
    <row r="40" spans="1:70" ht="21" x14ac:dyDescent="0.3">
      <c r="D40" s="28"/>
      <c r="E40" s="25" t="s">
        <v>146</v>
      </c>
      <c r="F40" s="26" t="s">
        <v>155</v>
      </c>
      <c r="G40" s="30"/>
      <c r="H40" s="31"/>
      <c r="I40" s="31"/>
      <c r="J40" s="31"/>
      <c r="K40" s="31"/>
      <c r="L40" s="31"/>
      <c r="M40" s="40">
        <v>48</v>
      </c>
      <c r="N40" s="41">
        <f>SUM(N41:N42)</f>
        <v>59.900000000000006</v>
      </c>
      <c r="O40" s="103" t="s">
        <v>164</v>
      </c>
      <c r="P40" s="204" t="s">
        <v>6</v>
      </c>
      <c r="R40" s="263">
        <f t="shared" si="5"/>
        <v>85000</v>
      </c>
      <c r="S40" s="364">
        <v>30</v>
      </c>
      <c r="T40" s="365" t="s">
        <v>306</v>
      </c>
      <c r="U40" s="263"/>
      <c r="W40" s="232"/>
      <c r="Z40" s="201"/>
      <c r="AA40" s="246"/>
      <c r="AB40" s="246"/>
      <c r="AC40" s="248"/>
      <c r="AD40" s="246"/>
      <c r="AE40" s="246"/>
      <c r="AJ40" s="201"/>
      <c r="AN40" s="246"/>
      <c r="AO40" s="246"/>
      <c r="AP40" s="246"/>
    </row>
    <row r="41" spans="1:70" s="7" customFormat="1" ht="21" x14ac:dyDescent="0.3">
      <c r="A41" s="183"/>
      <c r="B41" s="183"/>
      <c r="C41" s="32"/>
      <c r="D41" s="24"/>
      <c r="E41" s="25" t="s">
        <v>150</v>
      </c>
      <c r="F41" s="26" t="s">
        <v>153</v>
      </c>
      <c r="G41" s="30"/>
      <c r="H41" s="31"/>
      <c r="I41" s="31"/>
      <c r="J41" s="31"/>
      <c r="K41" s="31"/>
      <c r="L41" s="31"/>
      <c r="M41" s="39">
        <v>44.95</v>
      </c>
      <c r="N41" s="42">
        <v>44.95</v>
      </c>
      <c r="O41" s="104" t="s">
        <v>27</v>
      </c>
      <c r="P41" s="204" t="s">
        <v>6</v>
      </c>
      <c r="Q41" s="232"/>
      <c r="R41" s="263">
        <f t="shared" si="5"/>
        <v>87500</v>
      </c>
      <c r="S41" s="364">
        <v>31</v>
      </c>
      <c r="T41" s="365" t="s">
        <v>307</v>
      </c>
      <c r="U41" s="263"/>
      <c r="V41" s="182"/>
      <c r="W41" s="232"/>
      <c r="X41" s="232"/>
      <c r="Y41" s="232"/>
      <c r="Z41" s="236"/>
      <c r="AA41" s="246"/>
      <c r="AB41" s="246"/>
      <c r="AC41" s="248"/>
      <c r="AD41" s="246"/>
      <c r="AE41" s="246"/>
      <c r="AF41" s="232"/>
      <c r="AG41" s="236"/>
      <c r="AH41" s="236"/>
      <c r="AI41" s="236"/>
      <c r="AJ41" s="236"/>
      <c r="AK41" s="236"/>
      <c r="AL41" s="236"/>
      <c r="AM41" s="236"/>
      <c r="AN41" s="246"/>
      <c r="AO41" s="246"/>
      <c r="AP41" s="246"/>
      <c r="AQ41" s="232"/>
      <c r="AR41" s="237"/>
      <c r="AS41" s="237"/>
      <c r="AT41" s="232"/>
      <c r="AU41" s="232"/>
      <c r="AV41" s="237"/>
      <c r="AW41" s="237"/>
      <c r="AX41" s="232"/>
      <c r="AY41" s="232"/>
      <c r="AZ41" s="237"/>
      <c r="BA41" s="237"/>
      <c r="BB41" s="232"/>
      <c r="BC41" s="232"/>
      <c r="BD41" s="232"/>
      <c r="BE41" s="237"/>
      <c r="BF41" s="237"/>
      <c r="BG41" s="240"/>
      <c r="BH41" s="2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</row>
    <row r="42" spans="1:70" ht="21" x14ac:dyDescent="0.3">
      <c r="D42" s="28"/>
      <c r="E42" s="25" t="s">
        <v>148</v>
      </c>
      <c r="F42" s="26" t="s">
        <v>153</v>
      </c>
      <c r="G42" s="30"/>
      <c r="H42" s="31"/>
      <c r="I42" s="31"/>
      <c r="J42" s="31"/>
      <c r="K42" s="31"/>
      <c r="L42" s="31"/>
      <c r="M42" s="39">
        <v>14.95</v>
      </c>
      <c r="N42" s="41">
        <v>14.95</v>
      </c>
      <c r="O42" s="103" t="s">
        <v>27</v>
      </c>
      <c r="P42" s="204" t="s">
        <v>6</v>
      </c>
      <c r="R42" s="263">
        <f t="shared" si="5"/>
        <v>90000</v>
      </c>
      <c r="S42" s="364">
        <v>32</v>
      </c>
      <c r="T42" s="365" t="s">
        <v>308</v>
      </c>
      <c r="U42" s="263"/>
      <c r="Z42" s="201"/>
      <c r="AA42" s="246"/>
      <c r="AB42" s="246"/>
      <c r="AC42" s="248"/>
      <c r="AD42" s="246"/>
      <c r="AE42" s="246"/>
      <c r="AJ42" s="201"/>
      <c r="AN42" s="246"/>
      <c r="AO42" s="246"/>
      <c r="AP42" s="246"/>
    </row>
    <row r="43" spans="1:70" ht="21" x14ac:dyDescent="0.3">
      <c r="D43" s="24"/>
      <c r="E43" s="25" t="s">
        <v>147</v>
      </c>
      <c r="F43" s="26" t="s">
        <v>153</v>
      </c>
      <c r="G43" s="30"/>
      <c r="H43" s="31"/>
      <c r="I43" s="31" t="s">
        <v>6</v>
      </c>
      <c r="J43" s="31"/>
      <c r="K43" s="31"/>
      <c r="L43" s="31" t="s">
        <v>6</v>
      </c>
      <c r="M43" s="39">
        <v>11.95</v>
      </c>
      <c r="N43" s="41">
        <v>11.95</v>
      </c>
      <c r="O43" s="103" t="s">
        <v>27</v>
      </c>
      <c r="P43" s="204" t="s">
        <v>6</v>
      </c>
      <c r="AA43" s="246"/>
      <c r="AB43" s="246"/>
      <c r="AC43" s="248"/>
      <c r="AD43" s="246"/>
      <c r="AE43" s="246"/>
      <c r="AN43" s="246"/>
      <c r="AO43" s="246"/>
      <c r="AP43" s="246"/>
    </row>
    <row r="44" spans="1:70" s="7" customFormat="1" ht="21" x14ac:dyDescent="0.25">
      <c r="A44" s="185"/>
      <c r="B44" s="185"/>
      <c r="C44" s="32"/>
      <c r="D44" s="24"/>
      <c r="E44" s="25" t="s">
        <v>158</v>
      </c>
      <c r="F44" s="26" t="s">
        <v>156</v>
      </c>
      <c r="G44" s="30"/>
      <c r="H44" s="31"/>
      <c r="I44" s="31"/>
      <c r="J44" s="31"/>
      <c r="K44" s="31"/>
      <c r="L44" s="31"/>
      <c r="M44" s="40">
        <v>150</v>
      </c>
      <c r="N44" s="41">
        <f>7*N45+SUM(N46:N49)</f>
        <v>219.45</v>
      </c>
      <c r="O44" s="103" t="s">
        <v>164</v>
      </c>
      <c r="P44" s="204" t="s">
        <v>6</v>
      </c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46"/>
      <c r="AB44" s="246"/>
      <c r="AC44" s="248"/>
      <c r="AD44" s="246"/>
      <c r="AE44" s="246"/>
      <c r="AF44" s="232"/>
      <c r="AG44" s="236"/>
      <c r="AH44" s="236"/>
      <c r="AI44" s="236"/>
      <c r="AJ44" s="232"/>
      <c r="AK44" s="236"/>
      <c r="AL44" s="236"/>
      <c r="AM44" s="236"/>
      <c r="AN44" s="246"/>
      <c r="AO44" s="246"/>
      <c r="AP44" s="246"/>
      <c r="AQ44" s="232"/>
      <c r="AR44" s="237"/>
      <c r="AS44" s="237"/>
      <c r="AT44" s="232"/>
      <c r="AU44" s="232"/>
      <c r="AV44" s="237"/>
      <c r="AW44" s="237"/>
      <c r="AX44" s="232"/>
      <c r="AY44" s="232"/>
      <c r="AZ44" s="237"/>
      <c r="BA44" s="237"/>
      <c r="BB44" s="232"/>
      <c r="BC44" s="232"/>
      <c r="BD44" s="232"/>
      <c r="BE44" s="237"/>
      <c r="BF44" s="237"/>
      <c r="BG44" s="240"/>
      <c r="BH44" s="2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</row>
    <row r="45" spans="1:70" ht="21" x14ac:dyDescent="0.3">
      <c r="D45" s="24"/>
      <c r="E45" s="25" t="s">
        <v>159</v>
      </c>
      <c r="F45" s="26" t="s">
        <v>157</v>
      </c>
      <c r="G45" s="30"/>
      <c r="H45" s="31"/>
      <c r="I45" s="31"/>
      <c r="J45" s="31"/>
      <c r="K45" s="31"/>
      <c r="L45" s="31"/>
      <c r="M45" s="39">
        <v>24.95</v>
      </c>
      <c r="N45" s="41">
        <v>24.95</v>
      </c>
      <c r="O45" s="103" t="s">
        <v>27</v>
      </c>
      <c r="P45" s="204" t="s">
        <v>6</v>
      </c>
      <c r="AA45" s="246"/>
      <c r="AB45" s="246"/>
      <c r="AC45" s="248"/>
      <c r="AD45" s="246"/>
      <c r="AE45" s="246"/>
      <c r="AN45" s="246"/>
      <c r="AO45" s="246"/>
      <c r="AP45" s="246"/>
    </row>
    <row r="46" spans="1:70" ht="21" x14ac:dyDescent="0.3">
      <c r="D46" s="28"/>
      <c r="E46" s="25" t="s">
        <v>162</v>
      </c>
      <c r="F46" s="26" t="s">
        <v>26</v>
      </c>
      <c r="G46" s="30"/>
      <c r="H46" s="31"/>
      <c r="I46" s="31"/>
      <c r="J46" s="31"/>
      <c r="K46" s="31"/>
      <c r="L46" s="31"/>
      <c r="M46" s="39">
        <v>9.9499999999999993</v>
      </c>
      <c r="N46" s="41">
        <v>9.9499999999999993</v>
      </c>
      <c r="O46" s="103" t="s">
        <v>27</v>
      </c>
      <c r="P46" s="204" t="s">
        <v>6</v>
      </c>
      <c r="U46" s="273"/>
      <c r="W46" s="232"/>
      <c r="AA46" s="246"/>
      <c r="AB46" s="246"/>
      <c r="AC46" s="248"/>
      <c r="AD46" s="246"/>
      <c r="AE46" s="246"/>
      <c r="AN46" s="246"/>
      <c r="AO46" s="246"/>
      <c r="AP46" s="246"/>
    </row>
    <row r="47" spans="1:70" ht="21" x14ac:dyDescent="0.3">
      <c r="D47" s="24"/>
      <c r="E47" s="25" t="s">
        <v>161</v>
      </c>
      <c r="F47" s="26" t="s">
        <v>26</v>
      </c>
      <c r="G47" s="30"/>
      <c r="H47" s="31"/>
      <c r="I47" s="31"/>
      <c r="J47" s="31"/>
      <c r="K47" s="31"/>
      <c r="L47" s="31"/>
      <c r="M47" s="39">
        <v>9.9499999999999993</v>
      </c>
      <c r="N47" s="41">
        <v>9.9499999999999993</v>
      </c>
      <c r="O47" s="103" t="s">
        <v>27</v>
      </c>
      <c r="P47" s="204" t="s">
        <v>6</v>
      </c>
      <c r="U47" s="273"/>
      <c r="W47" s="232"/>
      <c r="AA47" s="246"/>
      <c r="AB47" s="246"/>
      <c r="AC47" s="248"/>
      <c r="AD47" s="246"/>
      <c r="AE47" s="246"/>
      <c r="AN47" s="246"/>
      <c r="AO47" s="246"/>
      <c r="AP47" s="246"/>
    </row>
    <row r="48" spans="1:70" ht="21" x14ac:dyDescent="0.3">
      <c r="D48" s="24"/>
      <c r="E48" s="25" t="s">
        <v>160</v>
      </c>
      <c r="F48" s="26" t="s">
        <v>26</v>
      </c>
      <c r="G48" s="30"/>
      <c r="H48" s="31"/>
      <c r="I48" s="31"/>
      <c r="J48" s="31"/>
      <c r="K48" s="31"/>
      <c r="L48" s="31"/>
      <c r="M48" s="39">
        <v>9.9499999999999993</v>
      </c>
      <c r="N48" s="41">
        <v>9.9499999999999993</v>
      </c>
      <c r="O48" s="103" t="s">
        <v>27</v>
      </c>
      <c r="P48" s="204" t="s">
        <v>6</v>
      </c>
      <c r="U48" s="274"/>
      <c r="W48" s="232"/>
    </row>
    <row r="49" spans="1:70" s="7" customFormat="1" ht="21.75" thickBot="1" x14ac:dyDescent="0.35">
      <c r="A49" s="183"/>
      <c r="B49" s="183"/>
      <c r="C49" s="32"/>
      <c r="D49" s="29"/>
      <c r="E49" s="331" t="s">
        <v>163</v>
      </c>
      <c r="F49" s="87" t="s">
        <v>26</v>
      </c>
      <c r="G49" s="88"/>
      <c r="H49" s="89"/>
      <c r="I49" s="89"/>
      <c r="J49" s="89"/>
      <c r="K49" s="89"/>
      <c r="L49" s="89"/>
      <c r="M49" s="90">
        <v>14.95</v>
      </c>
      <c r="N49" s="91">
        <v>14.95</v>
      </c>
      <c r="O49" s="105" t="s">
        <v>27</v>
      </c>
      <c r="P49" s="204" t="s">
        <v>6</v>
      </c>
      <c r="Q49" s="232"/>
      <c r="R49" s="232"/>
      <c r="S49" s="232"/>
      <c r="T49" s="232"/>
      <c r="U49" s="273"/>
      <c r="V49" s="18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6"/>
      <c r="AH49" s="236"/>
      <c r="AI49" s="236"/>
      <c r="AJ49" s="232"/>
      <c r="AK49" s="236"/>
      <c r="AL49" s="236"/>
      <c r="AM49" s="236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40"/>
      <c r="BH49" s="2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</row>
    <row r="50" spans="1:70" s="21" customFormat="1" ht="9.75" customHeight="1" thickBot="1" x14ac:dyDescent="0.35">
      <c r="A50" s="38"/>
      <c r="B50" s="38"/>
      <c r="D50" s="123"/>
      <c r="G50" s="107"/>
      <c r="H50" s="107"/>
      <c r="I50" s="107"/>
      <c r="J50" s="107"/>
      <c r="K50" s="107"/>
      <c r="L50" s="107"/>
      <c r="M50" s="334"/>
      <c r="N50" s="116"/>
      <c r="O50" s="358"/>
      <c r="P50" s="110"/>
      <c r="R50" s="96"/>
      <c r="S50" s="97"/>
      <c r="T50" s="43"/>
      <c r="V50" s="32"/>
      <c r="W50" s="32"/>
      <c r="AC50" s="47"/>
      <c r="AG50" s="22"/>
      <c r="AH50" s="22"/>
      <c r="AI50" s="22"/>
      <c r="AK50" s="22"/>
      <c r="AL50" s="22"/>
      <c r="AM50" s="22"/>
      <c r="AR50" s="47"/>
      <c r="AS50" s="47"/>
      <c r="AV50" s="47"/>
      <c r="AW50" s="47"/>
      <c r="AZ50" s="47"/>
      <c r="BA50" s="47"/>
      <c r="BE50" s="47"/>
      <c r="BF50" s="47"/>
      <c r="BG50" s="48"/>
    </row>
    <row r="51" spans="1:70" s="7" customFormat="1" ht="90" x14ac:dyDescent="0.3">
      <c r="A51" s="185"/>
      <c r="B51" s="185"/>
      <c r="C51" s="32"/>
      <c r="D51" s="131" t="s">
        <v>3</v>
      </c>
      <c r="E51" s="132" t="s">
        <v>130</v>
      </c>
      <c r="F51" s="133" t="s">
        <v>4</v>
      </c>
      <c r="G51" s="360" t="s">
        <v>21</v>
      </c>
      <c r="H51" s="360" t="str">
        <f>H7</f>
        <v>Neue Abenteurer</v>
      </c>
      <c r="I51" s="360" t="str">
        <f>I7</f>
        <v>Einstieg in Aventuria</v>
      </c>
      <c r="J51" s="361" t="str">
        <f>J7</f>
        <v>Neue Geschichten</v>
      </c>
      <c r="K51" s="362" t="str">
        <f>K7</f>
        <v>Abenteurer und Geschichten</v>
      </c>
      <c r="L51" s="362" t="str">
        <f>L7</f>
        <v>Kombo: Abenteurer und Geschichten + Einstieg in Aventuria</v>
      </c>
      <c r="M51" s="338" t="s">
        <v>18</v>
      </c>
      <c r="N51" s="137" t="s">
        <v>5</v>
      </c>
      <c r="O51" s="137" t="s">
        <v>119</v>
      </c>
      <c r="P51" s="231" t="s">
        <v>17</v>
      </c>
      <c r="Q51" s="232"/>
      <c r="R51" s="258"/>
      <c r="S51" s="259"/>
      <c r="T51" s="182"/>
      <c r="U51" s="182"/>
      <c r="V51" s="232"/>
      <c r="W51" s="232"/>
      <c r="X51" s="232"/>
      <c r="Y51" s="232"/>
      <c r="Z51" s="232"/>
      <c r="AA51" s="232"/>
      <c r="AB51" s="232"/>
      <c r="AC51" s="237"/>
      <c r="AD51" s="232"/>
      <c r="AE51" s="232"/>
      <c r="AF51" s="232"/>
      <c r="AG51" s="236"/>
      <c r="AH51" s="236"/>
      <c r="AI51" s="236"/>
      <c r="AJ51" s="232"/>
      <c r="AK51" s="236"/>
      <c r="AL51" s="236"/>
      <c r="AM51" s="236"/>
      <c r="AN51" s="232"/>
      <c r="AO51" s="232"/>
      <c r="AP51" s="232"/>
      <c r="AQ51" s="232"/>
      <c r="AR51" s="237"/>
      <c r="AS51" s="237"/>
      <c r="AT51" s="232"/>
      <c r="AU51" s="232"/>
      <c r="AV51" s="237"/>
      <c r="AW51" s="237"/>
      <c r="AX51" s="232"/>
      <c r="AY51" s="232"/>
      <c r="AZ51" s="237"/>
      <c r="BA51" s="237"/>
      <c r="BB51" s="232"/>
      <c r="BC51" s="232"/>
      <c r="BD51" s="232"/>
      <c r="BE51" s="237"/>
      <c r="BF51" s="237"/>
      <c r="BG51" s="240"/>
      <c r="BH51" s="2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</row>
    <row r="52" spans="1:70" ht="21" x14ac:dyDescent="0.3">
      <c r="A52" s="186" t="s">
        <v>131</v>
      </c>
      <c r="B52" s="186">
        <v>60000</v>
      </c>
      <c r="D52" s="9"/>
      <c r="E52" s="352" t="s">
        <v>265</v>
      </c>
      <c r="F52" s="11" t="s">
        <v>259</v>
      </c>
      <c r="G52" s="14"/>
      <c r="H52" s="2"/>
      <c r="I52" s="2"/>
      <c r="J52" s="2" t="s">
        <v>6</v>
      </c>
      <c r="K52" s="2" t="s">
        <v>6</v>
      </c>
      <c r="L52" s="2" t="s">
        <v>6</v>
      </c>
      <c r="M52" s="339" t="s">
        <v>7</v>
      </c>
      <c r="N52" s="13">
        <v>1.99</v>
      </c>
      <c r="O52" s="100" t="s">
        <v>8</v>
      </c>
      <c r="P52" s="204" t="s">
        <v>6</v>
      </c>
      <c r="Q52" s="232"/>
      <c r="R52" s="332"/>
      <c r="S52" s="333"/>
      <c r="T52" s="280"/>
      <c r="U52" s="273"/>
      <c r="AC52" s="182"/>
      <c r="AG52" s="182"/>
      <c r="AH52" s="182"/>
      <c r="AI52" s="182"/>
      <c r="AK52" s="182"/>
      <c r="AL52" s="182"/>
      <c r="AM52" s="182"/>
      <c r="AR52" s="182"/>
      <c r="AS52" s="182"/>
      <c r="AV52" s="182"/>
      <c r="AW52" s="182"/>
      <c r="AZ52" s="182"/>
      <c r="BA52" s="182"/>
      <c r="BE52" s="182"/>
      <c r="BF52" s="182"/>
    </row>
    <row r="53" spans="1:70" ht="21" x14ac:dyDescent="0.3">
      <c r="A53" s="186" t="s">
        <v>303</v>
      </c>
      <c r="B53" s="186">
        <v>82500</v>
      </c>
      <c r="D53" s="9"/>
      <c r="E53" s="352" t="s">
        <v>309</v>
      </c>
      <c r="F53" s="11" t="s">
        <v>259</v>
      </c>
      <c r="G53" s="14"/>
      <c r="H53" s="2"/>
      <c r="I53" s="2"/>
      <c r="J53" s="2" t="s">
        <v>6</v>
      </c>
      <c r="K53" s="2" t="s">
        <v>6</v>
      </c>
      <c r="L53" s="2" t="s">
        <v>6</v>
      </c>
      <c r="M53" s="339" t="s">
        <v>7</v>
      </c>
      <c r="N53" s="13">
        <v>1.99</v>
      </c>
      <c r="O53" s="100" t="s">
        <v>8</v>
      </c>
      <c r="P53" s="204" t="s">
        <v>6</v>
      </c>
      <c r="Q53" s="232"/>
      <c r="R53" s="332"/>
      <c r="S53" s="333"/>
      <c r="T53" s="280"/>
      <c r="U53" s="273"/>
      <c r="AC53" s="182"/>
      <c r="AG53" s="182"/>
      <c r="AH53" s="182"/>
      <c r="AI53" s="182"/>
      <c r="AK53" s="182"/>
      <c r="AL53" s="182"/>
      <c r="AM53" s="182"/>
      <c r="AR53" s="182"/>
      <c r="AS53" s="182"/>
      <c r="AV53" s="182"/>
      <c r="AW53" s="182"/>
      <c r="AZ53" s="182"/>
      <c r="BA53" s="182"/>
      <c r="BE53" s="182"/>
      <c r="BF53" s="182"/>
    </row>
    <row r="54" spans="1:70" ht="21" x14ac:dyDescent="0.3">
      <c r="A54" s="186" t="s">
        <v>303</v>
      </c>
      <c r="B54" s="186">
        <v>82500</v>
      </c>
      <c r="D54" s="9"/>
      <c r="E54" s="352" t="s">
        <v>310</v>
      </c>
      <c r="F54" s="11" t="s">
        <v>259</v>
      </c>
      <c r="G54" s="14"/>
      <c r="H54" s="2"/>
      <c r="I54" s="2"/>
      <c r="J54" s="2" t="s">
        <v>6</v>
      </c>
      <c r="K54" s="2" t="s">
        <v>6</v>
      </c>
      <c r="L54" s="2" t="s">
        <v>6</v>
      </c>
      <c r="M54" s="339" t="s">
        <v>7</v>
      </c>
      <c r="N54" s="13">
        <v>1.99</v>
      </c>
      <c r="O54" s="100" t="s">
        <v>8</v>
      </c>
      <c r="P54" s="204" t="s">
        <v>6</v>
      </c>
      <c r="Q54" s="232"/>
      <c r="R54" s="332"/>
      <c r="S54" s="333"/>
      <c r="T54" s="280"/>
      <c r="U54" s="273"/>
      <c r="AC54" s="182"/>
      <c r="AG54" s="182"/>
      <c r="AH54" s="182"/>
      <c r="AI54" s="182"/>
      <c r="AK54" s="182"/>
      <c r="AL54" s="182"/>
      <c r="AM54" s="182"/>
      <c r="AR54" s="182"/>
      <c r="AS54" s="182"/>
      <c r="AV54" s="182"/>
      <c r="AW54" s="182"/>
      <c r="AZ54" s="182"/>
      <c r="BA54" s="182"/>
      <c r="BE54" s="182"/>
      <c r="BF54" s="182"/>
    </row>
    <row r="55" spans="1:70" ht="21" x14ac:dyDescent="0.3">
      <c r="A55" s="186" t="s">
        <v>303</v>
      </c>
      <c r="B55" s="186">
        <v>82500</v>
      </c>
      <c r="D55" s="9"/>
      <c r="E55" s="352" t="s">
        <v>311</v>
      </c>
      <c r="F55" s="11" t="s">
        <v>259</v>
      </c>
      <c r="G55" s="14"/>
      <c r="H55" s="2"/>
      <c r="I55" s="2"/>
      <c r="J55" s="2" t="s">
        <v>6</v>
      </c>
      <c r="K55" s="2" t="s">
        <v>6</v>
      </c>
      <c r="L55" s="2" t="s">
        <v>6</v>
      </c>
      <c r="M55" s="339" t="s">
        <v>7</v>
      </c>
      <c r="N55" s="13">
        <v>1.99</v>
      </c>
      <c r="O55" s="100" t="s">
        <v>8</v>
      </c>
      <c r="P55" s="204" t="s">
        <v>6</v>
      </c>
      <c r="Q55" s="232"/>
      <c r="R55" s="332"/>
      <c r="S55" s="333"/>
      <c r="T55" s="280"/>
      <c r="U55" s="273"/>
      <c r="AC55" s="182"/>
      <c r="AG55" s="182"/>
      <c r="AH55" s="182"/>
      <c r="AI55" s="182"/>
      <c r="AK55" s="182"/>
      <c r="AL55" s="182"/>
      <c r="AM55" s="182"/>
      <c r="AR55" s="182"/>
      <c r="AS55" s="182"/>
      <c r="AV55" s="182"/>
      <c r="AW55" s="182"/>
      <c r="AZ55" s="182"/>
      <c r="BA55" s="182"/>
      <c r="BE55" s="182"/>
      <c r="BF55" s="182"/>
    </row>
    <row r="56" spans="1:70" ht="21" x14ac:dyDescent="0.3">
      <c r="A56" s="186" t="s">
        <v>303</v>
      </c>
      <c r="B56" s="186">
        <v>82500</v>
      </c>
      <c r="D56" s="9"/>
      <c r="E56" s="352" t="s">
        <v>312</v>
      </c>
      <c r="F56" s="11" t="s">
        <v>259</v>
      </c>
      <c r="G56" s="14"/>
      <c r="H56" s="2"/>
      <c r="I56" s="2"/>
      <c r="J56" s="2" t="s">
        <v>6</v>
      </c>
      <c r="K56" s="2" t="s">
        <v>6</v>
      </c>
      <c r="L56" s="2" t="s">
        <v>6</v>
      </c>
      <c r="M56" s="339" t="s">
        <v>7</v>
      </c>
      <c r="N56" s="13">
        <v>1.99</v>
      </c>
      <c r="O56" s="100" t="s">
        <v>8</v>
      </c>
      <c r="P56" s="204" t="s">
        <v>6</v>
      </c>
      <c r="Q56" s="232"/>
      <c r="R56" s="332"/>
      <c r="S56" s="333"/>
      <c r="T56" s="280"/>
      <c r="U56" s="273"/>
      <c r="AC56" s="182"/>
      <c r="AG56" s="182"/>
      <c r="AH56" s="182"/>
      <c r="AI56" s="182"/>
      <c r="AK56" s="182"/>
      <c r="AL56" s="182"/>
      <c r="AM56" s="182"/>
      <c r="AR56" s="182"/>
      <c r="AS56" s="182"/>
      <c r="AV56" s="182"/>
      <c r="AW56" s="182"/>
      <c r="AZ56" s="182"/>
      <c r="BA56" s="182"/>
      <c r="BE56" s="182"/>
      <c r="BF56" s="182"/>
    </row>
    <row r="57" spans="1:70" ht="21" x14ac:dyDescent="0.3">
      <c r="A57" s="186" t="s">
        <v>269</v>
      </c>
      <c r="B57" s="186">
        <v>67500</v>
      </c>
      <c r="D57" s="9"/>
      <c r="E57" s="439" t="s">
        <v>276</v>
      </c>
      <c r="F57" s="440" t="s">
        <v>268</v>
      </c>
      <c r="G57" s="441"/>
      <c r="H57" s="442"/>
      <c r="I57" s="442"/>
      <c r="J57" s="442" t="s">
        <v>6</v>
      </c>
      <c r="K57" s="442" t="s">
        <v>6</v>
      </c>
      <c r="L57" s="442" t="s">
        <v>6</v>
      </c>
      <c r="M57" s="443" t="s">
        <v>7</v>
      </c>
      <c r="N57" s="444" t="s">
        <v>7</v>
      </c>
      <c r="O57" s="445"/>
      <c r="P57" s="204" t="s">
        <v>6</v>
      </c>
      <c r="Q57" s="232"/>
      <c r="R57" s="332"/>
      <c r="S57" s="333"/>
      <c r="T57" s="280"/>
      <c r="U57" s="273"/>
      <c r="AC57" s="182"/>
      <c r="AG57" s="182"/>
      <c r="AH57" s="182"/>
      <c r="AI57" s="182"/>
      <c r="AK57" s="182"/>
      <c r="AL57" s="182"/>
      <c r="AM57" s="182"/>
      <c r="AR57" s="182"/>
      <c r="AS57" s="182"/>
      <c r="AV57" s="182"/>
      <c r="AW57" s="182"/>
      <c r="AZ57" s="182"/>
      <c r="BA57" s="182"/>
      <c r="BE57" s="182"/>
      <c r="BF57" s="182"/>
    </row>
    <row r="58" spans="1:70" ht="21" x14ac:dyDescent="0.3">
      <c r="A58" s="186" t="s">
        <v>264</v>
      </c>
      <c r="B58" s="186">
        <v>65000</v>
      </c>
      <c r="D58" s="9"/>
      <c r="E58" s="432" t="s">
        <v>267</v>
      </c>
      <c r="F58" s="433" t="s">
        <v>168</v>
      </c>
      <c r="G58" s="434"/>
      <c r="H58" s="435"/>
      <c r="I58" s="435"/>
      <c r="J58" s="435" t="s">
        <v>6</v>
      </c>
      <c r="K58" s="435" t="s">
        <v>6</v>
      </c>
      <c r="L58" s="435" t="s">
        <v>6</v>
      </c>
      <c r="M58" s="436" t="s">
        <v>7</v>
      </c>
      <c r="N58" s="437">
        <v>0.99</v>
      </c>
      <c r="O58" s="438" t="s">
        <v>8</v>
      </c>
      <c r="P58" s="204" t="s">
        <v>6</v>
      </c>
      <c r="Q58" s="232"/>
      <c r="R58" s="332"/>
      <c r="S58" s="333"/>
      <c r="T58" s="280"/>
      <c r="U58" s="273"/>
      <c r="AC58" s="182"/>
      <c r="AG58" s="182"/>
      <c r="AH58" s="182"/>
      <c r="AI58" s="182"/>
      <c r="AK58" s="182"/>
      <c r="AL58" s="182"/>
      <c r="AM58" s="182"/>
      <c r="AR58" s="182"/>
      <c r="AS58" s="182"/>
      <c r="AV58" s="182"/>
      <c r="AW58" s="182"/>
      <c r="AZ58" s="182"/>
      <c r="BA58" s="182"/>
      <c r="BE58" s="182"/>
      <c r="BF58" s="182"/>
    </row>
    <row r="59" spans="1:70" s="8" customFormat="1" ht="21" x14ac:dyDescent="0.25">
      <c r="A59" s="186" t="s">
        <v>39</v>
      </c>
      <c r="B59" s="186">
        <v>17500</v>
      </c>
      <c r="C59" s="33"/>
      <c r="D59" s="9"/>
      <c r="E59" s="352" t="s">
        <v>190</v>
      </c>
      <c r="F59" s="11" t="s">
        <v>168</v>
      </c>
      <c r="G59" s="14"/>
      <c r="H59" s="2"/>
      <c r="I59" s="2"/>
      <c r="J59" s="2" t="s">
        <v>6</v>
      </c>
      <c r="K59" s="2" t="s">
        <v>6</v>
      </c>
      <c r="L59" s="2" t="s">
        <v>6</v>
      </c>
      <c r="M59" s="339" t="s">
        <v>7</v>
      </c>
      <c r="N59" s="13">
        <v>0.99</v>
      </c>
      <c r="O59" s="100" t="s">
        <v>8</v>
      </c>
      <c r="P59" s="204" t="s">
        <v>6</v>
      </c>
      <c r="Q59" s="232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5"/>
      <c r="AH59" s="255"/>
      <c r="AI59" s="255"/>
      <c r="AJ59" s="251"/>
      <c r="AK59" s="255"/>
      <c r="AL59" s="255"/>
      <c r="AM59" s="255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7"/>
      <c r="BH59" s="251"/>
      <c r="BI59" s="33"/>
      <c r="BJ59" s="33"/>
      <c r="BK59" s="33"/>
      <c r="BL59" s="33"/>
      <c r="BM59" s="33"/>
      <c r="BN59" s="33"/>
      <c r="BO59" s="33"/>
      <c r="BP59" s="33"/>
      <c r="BQ59" s="33"/>
      <c r="BR59" s="33"/>
    </row>
    <row r="60" spans="1:70" s="8" customFormat="1" ht="21" x14ac:dyDescent="0.25">
      <c r="A60" s="186" t="s">
        <v>40</v>
      </c>
      <c r="B60" s="186">
        <v>27500</v>
      </c>
      <c r="C60" s="33"/>
      <c r="D60" s="9"/>
      <c r="E60" s="352" t="s">
        <v>189</v>
      </c>
      <c r="F60" s="11" t="s">
        <v>168</v>
      </c>
      <c r="G60" s="14"/>
      <c r="H60" s="2"/>
      <c r="I60" s="2"/>
      <c r="J60" s="2" t="s">
        <v>6</v>
      </c>
      <c r="K60" s="2" t="s">
        <v>6</v>
      </c>
      <c r="L60" s="2" t="s">
        <v>6</v>
      </c>
      <c r="M60" s="339" t="s">
        <v>7</v>
      </c>
      <c r="N60" s="13">
        <v>0.99</v>
      </c>
      <c r="O60" s="100" t="s">
        <v>8</v>
      </c>
      <c r="P60" s="204" t="s">
        <v>6</v>
      </c>
      <c r="Q60" s="232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5"/>
      <c r="AH60" s="251"/>
      <c r="AI60" s="255"/>
      <c r="AJ60" s="251"/>
      <c r="AK60" s="255"/>
      <c r="AL60" s="251"/>
      <c r="AM60" s="255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7"/>
      <c r="BH60" s="251"/>
      <c r="BI60" s="33"/>
      <c r="BJ60" s="33"/>
      <c r="BK60" s="33"/>
      <c r="BL60" s="33"/>
      <c r="BM60" s="33"/>
      <c r="BN60" s="33"/>
      <c r="BO60" s="33"/>
      <c r="BP60" s="33"/>
      <c r="BQ60" s="33"/>
      <c r="BR60" s="33"/>
    </row>
    <row r="61" spans="1:70" s="8" customFormat="1" ht="21" x14ac:dyDescent="0.25">
      <c r="A61" s="186" t="s">
        <v>126</v>
      </c>
      <c r="B61" s="186">
        <v>45000</v>
      </c>
      <c r="C61" s="33"/>
      <c r="D61" s="9"/>
      <c r="E61" s="352" t="s">
        <v>250</v>
      </c>
      <c r="F61" s="11" t="s">
        <v>168</v>
      </c>
      <c r="G61" s="14"/>
      <c r="H61" s="2"/>
      <c r="I61" s="2"/>
      <c r="J61" s="2" t="s">
        <v>6</v>
      </c>
      <c r="K61" s="2" t="s">
        <v>6</v>
      </c>
      <c r="L61" s="2" t="s">
        <v>6</v>
      </c>
      <c r="M61" s="339" t="s">
        <v>7</v>
      </c>
      <c r="N61" s="13">
        <v>0.99</v>
      </c>
      <c r="O61" s="100" t="s">
        <v>8</v>
      </c>
      <c r="P61" s="204" t="s">
        <v>6</v>
      </c>
      <c r="Q61" s="232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5"/>
      <c r="AH61" s="251"/>
      <c r="AI61" s="255"/>
      <c r="AJ61" s="251"/>
      <c r="AK61" s="255"/>
      <c r="AL61" s="251"/>
      <c r="AM61" s="255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7"/>
      <c r="BH61" s="251"/>
      <c r="BI61" s="33"/>
      <c r="BJ61" s="33"/>
      <c r="BK61" s="33"/>
      <c r="BL61" s="33"/>
      <c r="BM61" s="33"/>
      <c r="BN61" s="33"/>
      <c r="BO61" s="33"/>
      <c r="BP61" s="33"/>
      <c r="BQ61" s="33"/>
      <c r="BR61" s="33"/>
    </row>
    <row r="62" spans="1:70" ht="21" x14ac:dyDescent="0.3">
      <c r="A62" s="186" t="s">
        <v>275</v>
      </c>
      <c r="B62" s="186">
        <v>70000</v>
      </c>
      <c r="D62" s="9"/>
      <c r="E62" s="447" t="s">
        <v>297</v>
      </c>
      <c r="F62" s="11" t="s">
        <v>168</v>
      </c>
      <c r="G62" s="14"/>
      <c r="H62" s="2"/>
      <c r="I62" s="2"/>
      <c r="J62" s="2" t="s">
        <v>6</v>
      </c>
      <c r="K62" s="2" t="s">
        <v>6</v>
      </c>
      <c r="L62" s="2" t="s">
        <v>6</v>
      </c>
      <c r="M62" s="339" t="s">
        <v>7</v>
      </c>
      <c r="N62" s="13">
        <v>0.99</v>
      </c>
      <c r="O62" s="100" t="s">
        <v>8</v>
      </c>
      <c r="P62" s="204" t="s">
        <v>6</v>
      </c>
      <c r="Q62" s="232"/>
      <c r="R62" s="332"/>
      <c r="S62" s="333"/>
      <c r="T62" s="280"/>
      <c r="U62" s="273"/>
      <c r="AC62" s="182"/>
      <c r="AG62" s="182"/>
      <c r="AH62" s="182"/>
      <c r="AI62" s="182"/>
      <c r="AK62" s="182"/>
      <c r="AL62" s="182"/>
      <c r="AM62" s="182"/>
      <c r="AR62" s="182"/>
      <c r="AS62" s="182"/>
      <c r="AV62" s="182"/>
      <c r="AW62" s="182"/>
      <c r="AZ62" s="182"/>
      <c r="BA62" s="182"/>
      <c r="BE62" s="182"/>
      <c r="BF62" s="182"/>
    </row>
    <row r="63" spans="1:70" ht="21" x14ac:dyDescent="0.3">
      <c r="A63" s="186" t="s">
        <v>289</v>
      </c>
      <c r="B63" s="186">
        <v>75000</v>
      </c>
      <c r="D63" s="9"/>
      <c r="E63" s="448" t="s">
        <v>299</v>
      </c>
      <c r="F63" s="11" t="s">
        <v>168</v>
      </c>
      <c r="G63" s="14"/>
      <c r="H63" s="2"/>
      <c r="I63" s="2"/>
      <c r="J63" s="2" t="s">
        <v>6</v>
      </c>
      <c r="K63" s="2" t="s">
        <v>6</v>
      </c>
      <c r="L63" s="2" t="s">
        <v>6</v>
      </c>
      <c r="M63" s="339" t="s">
        <v>7</v>
      </c>
      <c r="N63" s="13">
        <v>0.99</v>
      </c>
      <c r="O63" s="100" t="s">
        <v>8</v>
      </c>
      <c r="P63" s="204" t="s">
        <v>6</v>
      </c>
      <c r="Q63" s="232"/>
      <c r="R63" s="332"/>
      <c r="S63" s="333"/>
      <c r="T63" s="280"/>
      <c r="U63" s="273"/>
      <c r="AC63" s="182"/>
      <c r="AG63" s="182"/>
      <c r="AH63" s="182"/>
      <c r="AI63" s="182"/>
      <c r="AK63" s="182"/>
      <c r="AL63" s="182"/>
      <c r="AM63" s="182"/>
      <c r="AR63" s="182"/>
      <c r="AS63" s="182"/>
      <c r="AV63" s="182"/>
      <c r="AW63" s="182"/>
      <c r="AZ63" s="182"/>
      <c r="BA63" s="182"/>
      <c r="BE63" s="182"/>
      <c r="BF63" s="182"/>
    </row>
    <row r="64" spans="1:70" ht="21.75" thickBot="1" x14ac:dyDescent="0.35">
      <c r="A64" s="186" t="s">
        <v>300</v>
      </c>
      <c r="B64" s="186">
        <v>77500</v>
      </c>
      <c r="D64" s="450"/>
      <c r="E64" s="449" t="s">
        <v>298</v>
      </c>
      <c r="F64" s="451" t="s">
        <v>168</v>
      </c>
      <c r="G64" s="452"/>
      <c r="H64" s="453"/>
      <c r="I64" s="453"/>
      <c r="J64" s="453" t="s">
        <v>6</v>
      </c>
      <c r="K64" s="453" t="s">
        <v>6</v>
      </c>
      <c r="L64" s="453" t="s">
        <v>6</v>
      </c>
      <c r="M64" s="454" t="s">
        <v>7</v>
      </c>
      <c r="N64" s="455">
        <v>0.99</v>
      </c>
      <c r="O64" s="456" t="s">
        <v>8</v>
      </c>
      <c r="P64" s="204" t="s">
        <v>6</v>
      </c>
      <c r="Q64" s="232"/>
      <c r="R64" s="332"/>
      <c r="S64" s="333"/>
      <c r="T64" s="280"/>
      <c r="U64" s="273"/>
      <c r="AC64" s="182"/>
      <c r="AG64" s="182"/>
      <c r="AH64" s="182"/>
      <c r="AI64" s="182"/>
      <c r="AK64" s="182"/>
      <c r="AL64" s="182"/>
      <c r="AM64" s="182"/>
      <c r="AR64" s="182"/>
      <c r="AS64" s="182"/>
      <c r="AV64" s="182"/>
      <c r="AW64" s="182"/>
      <c r="AZ64" s="182"/>
      <c r="BA64" s="182"/>
      <c r="BE64" s="182"/>
      <c r="BF64" s="182"/>
    </row>
    <row r="65" spans="1:60" s="35" customFormat="1" ht="21" thickBot="1" x14ac:dyDescent="0.3">
      <c r="A65" s="188"/>
      <c r="B65" s="188"/>
      <c r="D65" s="157" t="s">
        <v>9</v>
      </c>
      <c r="E65" s="158" t="s">
        <v>15</v>
      </c>
      <c r="F65" s="158"/>
      <c r="G65" s="159">
        <f>G42+SUMIFS($N$11:$N$49,$D$11:$D$49,"x",G$11:G$49,"")</f>
        <v>0</v>
      </c>
      <c r="H65" s="159">
        <f>H$10+SUMIFS($M$11:$M$49,$D$11:$D$49,"x",H$11:H$49,"")</f>
        <v>35</v>
      </c>
      <c r="I65" s="159">
        <f>I$10+SUMIFS($M$11:$M$49,$D$11:$D$49,"x",I$11:I$49,"")</f>
        <v>75</v>
      </c>
      <c r="J65" s="160">
        <f>J$10+SUMIFS($M$11:$M$49,$D$11:$D$49,"x",J$11:J$49,"")</f>
        <v>120</v>
      </c>
      <c r="K65" s="354">
        <f>K$10+SUMIFS($M$11:$M$49,$D$11:$D$49,"x",K$11:K$49,"")</f>
        <v>150</v>
      </c>
      <c r="L65" s="354">
        <f>L$10+SUMIFS($M$11:$M$49,$D$11:$D$49,"x",L$11:L$49,"")</f>
        <v>225</v>
      </c>
      <c r="M65" s="353">
        <f>SUM(M11:M49)+SUM(M52:M64)</f>
        <v>584.50000000000023</v>
      </c>
      <c r="N65" s="161">
        <f>SUM(N11:N49)+SUM(N52:N64)</f>
        <v>715.43000000000018</v>
      </c>
      <c r="O65" s="162"/>
      <c r="P65" s="278" t="s">
        <v>6</v>
      </c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80"/>
      <c r="AY65" s="280"/>
      <c r="AZ65" s="277">
        <v>1.984126984126984E-2</v>
      </c>
      <c r="BA65" s="276">
        <f>AZ65/$AZ$76</f>
        <v>3.5799522673031027E-2</v>
      </c>
      <c r="BB65" s="279"/>
      <c r="BC65" s="280"/>
      <c r="BD65" s="280"/>
      <c r="BE65" s="279"/>
      <c r="BF65" s="279"/>
      <c r="BG65" s="281"/>
      <c r="BH65" s="279"/>
    </row>
    <row r="66" spans="1:60" s="35" customFormat="1" ht="21" x14ac:dyDescent="0.25">
      <c r="A66" s="188"/>
      <c r="B66" s="188"/>
      <c r="D66" s="138"/>
      <c r="E66" s="356" t="s">
        <v>280</v>
      </c>
      <c r="F66" s="163"/>
      <c r="G66" s="164">
        <f>$I$65-G65</f>
        <v>75</v>
      </c>
      <c r="H66" s="164">
        <f t="shared" ref="H66:L66" si="8">$I$65-H65</f>
        <v>40</v>
      </c>
      <c r="I66" s="165" t="s">
        <v>10</v>
      </c>
      <c r="J66" s="164">
        <f t="shared" si="8"/>
        <v>-45</v>
      </c>
      <c r="K66" s="164">
        <f t="shared" ref="K66" si="9">$I$65-K65</f>
        <v>-75</v>
      </c>
      <c r="L66" s="355">
        <f t="shared" si="8"/>
        <v>-150</v>
      </c>
      <c r="M66" s="341"/>
      <c r="N66" s="140"/>
      <c r="P66" s="204" t="s">
        <v>6</v>
      </c>
      <c r="Q66" s="279"/>
      <c r="R66" s="279"/>
      <c r="S66" s="279"/>
      <c r="T66" s="279"/>
      <c r="U66" s="279"/>
      <c r="V66" s="279"/>
      <c r="W66" s="279"/>
      <c r="X66" s="279"/>
      <c r="Y66" s="279"/>
      <c r="Z66" s="256"/>
      <c r="AA66" s="279"/>
      <c r="AB66" s="256"/>
      <c r="AC66" s="256"/>
      <c r="AD66" s="279"/>
      <c r="AE66" s="279"/>
      <c r="AF66" s="279"/>
      <c r="AG66" s="398"/>
      <c r="AH66" s="279"/>
      <c r="AI66" s="398"/>
      <c r="AJ66" s="256"/>
      <c r="AK66" s="268"/>
      <c r="AL66" s="279"/>
      <c r="AM66" s="398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80"/>
      <c r="AY66" s="280"/>
      <c r="AZ66" s="277">
        <v>1.984126984126984E-2</v>
      </c>
      <c r="BA66" s="276">
        <f>AZ66/$AZ$76</f>
        <v>3.5799522673031027E-2</v>
      </c>
      <c r="BB66" s="279"/>
      <c r="BC66" s="280"/>
      <c r="BD66" s="280"/>
      <c r="BE66" s="279"/>
      <c r="BF66" s="279"/>
      <c r="BG66" s="281"/>
      <c r="BH66" s="279"/>
    </row>
    <row r="67" spans="1:60" s="35" customFormat="1" ht="21" x14ac:dyDescent="0.25">
      <c r="A67" s="188"/>
      <c r="B67" s="188"/>
      <c r="D67" s="138"/>
      <c r="E67" s="357" t="s">
        <v>281</v>
      </c>
      <c r="F67" s="166"/>
      <c r="G67" s="167">
        <f>$J$65-G65</f>
        <v>120</v>
      </c>
      <c r="H67" s="167">
        <f t="shared" ref="H67:L67" si="10">$J$65-H65</f>
        <v>85</v>
      </c>
      <c r="I67" s="167">
        <f>$J$65-I65</f>
        <v>45</v>
      </c>
      <c r="J67" s="168" t="s">
        <v>10</v>
      </c>
      <c r="K67" s="167">
        <f t="shared" ref="K67" si="11">$J$65-K65</f>
        <v>-30</v>
      </c>
      <c r="L67" s="359">
        <f t="shared" si="10"/>
        <v>-105</v>
      </c>
      <c r="M67" s="341"/>
      <c r="N67" s="140"/>
      <c r="P67" s="204" t="s">
        <v>6</v>
      </c>
      <c r="Q67" s="279"/>
      <c r="R67" s="279"/>
      <c r="S67" s="279"/>
      <c r="T67" s="279"/>
      <c r="U67" s="279"/>
      <c r="V67" s="279"/>
      <c r="W67" s="279"/>
      <c r="X67" s="279"/>
      <c r="Y67" s="279"/>
      <c r="Z67" s="256"/>
      <c r="AA67" s="279"/>
      <c r="AB67" s="256"/>
      <c r="AC67" s="256"/>
      <c r="AD67" s="279"/>
      <c r="AE67" s="279"/>
      <c r="AF67" s="279"/>
      <c r="AG67" s="398"/>
      <c r="AH67" s="279"/>
      <c r="AI67" s="398"/>
      <c r="AJ67" s="256"/>
      <c r="AK67" s="268"/>
      <c r="AL67" s="279"/>
      <c r="AM67" s="398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80"/>
      <c r="AY67" s="280"/>
      <c r="AZ67" s="277">
        <v>2.2486772486772486E-2</v>
      </c>
      <c r="BA67" s="276">
        <f>AZ67/$AZ$76</f>
        <v>4.0572792362768499E-2</v>
      </c>
      <c r="BB67" s="279"/>
      <c r="BC67" s="280"/>
      <c r="BD67" s="280"/>
      <c r="BE67" s="279"/>
      <c r="BF67" s="279"/>
      <c r="BG67" s="281"/>
      <c r="BH67" s="279"/>
    </row>
    <row r="68" spans="1:60" s="35" customFormat="1" ht="21" x14ac:dyDescent="0.25">
      <c r="A68" s="188"/>
      <c r="B68" s="188"/>
      <c r="D68" s="138"/>
      <c r="E68" s="357" t="s">
        <v>282</v>
      </c>
      <c r="F68" s="166"/>
      <c r="G68" s="167">
        <f>$K$65-G65</f>
        <v>150</v>
      </c>
      <c r="H68" s="167">
        <f>$K$65-H65</f>
        <v>115</v>
      </c>
      <c r="I68" s="167">
        <f>$K$65-I65</f>
        <v>75</v>
      </c>
      <c r="J68" s="167">
        <f>$K$65-J65</f>
        <v>30</v>
      </c>
      <c r="K68" s="168" t="s">
        <v>10</v>
      </c>
      <c r="L68" s="359">
        <f>$K$65-L65</f>
        <v>-75</v>
      </c>
      <c r="M68" s="341"/>
      <c r="N68" s="140"/>
      <c r="P68" s="204" t="s">
        <v>6</v>
      </c>
      <c r="Q68" s="279"/>
      <c r="R68" s="279"/>
      <c r="S68" s="279"/>
      <c r="T68" s="279"/>
      <c r="U68" s="279"/>
      <c r="V68" s="279"/>
      <c r="W68" s="279"/>
      <c r="X68" s="279"/>
      <c r="Y68" s="279"/>
      <c r="Z68" s="256"/>
      <c r="AA68" s="279"/>
      <c r="AB68" s="256"/>
      <c r="AC68" s="256"/>
      <c r="AD68" s="279"/>
      <c r="AE68" s="279"/>
      <c r="AF68" s="279"/>
      <c r="AG68" s="398"/>
      <c r="AH68" s="279"/>
      <c r="AI68" s="398"/>
      <c r="AJ68" s="256"/>
      <c r="AK68" s="268"/>
      <c r="AL68" s="279"/>
      <c r="AM68" s="398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80"/>
      <c r="AY68" s="280"/>
      <c r="AZ68" s="277">
        <v>2.5132275132275131E-2</v>
      </c>
      <c r="BA68" s="276">
        <f t="shared" ref="BA68" si="12">AZ68/$AZ$76</f>
        <v>4.5346062052505964E-2</v>
      </c>
      <c r="BB68" s="279"/>
      <c r="BC68" s="280"/>
      <c r="BD68" s="280"/>
      <c r="BE68" s="279"/>
      <c r="BF68" s="279"/>
      <c r="BG68" s="281"/>
      <c r="BH68" s="279"/>
    </row>
    <row r="69" spans="1:60" s="35" customFormat="1" ht="21.75" thickBot="1" x14ac:dyDescent="0.3">
      <c r="A69" s="188"/>
      <c r="B69" s="188"/>
      <c r="D69" s="138"/>
      <c r="E69" s="420" t="s">
        <v>283</v>
      </c>
      <c r="F69" s="169"/>
      <c r="G69" s="170">
        <f>$L$65-G65</f>
        <v>225</v>
      </c>
      <c r="H69" s="170">
        <f t="shared" ref="H69:K69" si="13">$L$65-H65</f>
        <v>190</v>
      </c>
      <c r="I69" s="170">
        <f t="shared" si="13"/>
        <v>150</v>
      </c>
      <c r="J69" s="170">
        <f t="shared" si="13"/>
        <v>105</v>
      </c>
      <c r="K69" s="170">
        <f t="shared" si="13"/>
        <v>75</v>
      </c>
      <c r="L69" s="171" t="s">
        <v>10</v>
      </c>
      <c r="M69" s="341"/>
      <c r="N69" s="140"/>
      <c r="P69" s="204" t="s">
        <v>6</v>
      </c>
      <c r="Q69" s="279"/>
      <c r="R69" s="279"/>
      <c r="S69" s="279"/>
      <c r="T69" s="279"/>
      <c r="U69" s="279"/>
      <c r="V69" s="279"/>
      <c r="W69" s="279"/>
      <c r="X69" s="279"/>
      <c r="Y69" s="279"/>
      <c r="Z69" s="256"/>
      <c r="AA69" s="279"/>
      <c r="AB69" s="256"/>
      <c r="AC69" s="256"/>
      <c r="AD69" s="279"/>
      <c r="AE69" s="279"/>
      <c r="AF69" s="279"/>
      <c r="AG69" s="398"/>
      <c r="AH69" s="279"/>
      <c r="AI69" s="398"/>
      <c r="AJ69" s="256"/>
      <c r="AK69" s="268"/>
      <c r="AL69" s="279"/>
      <c r="AM69" s="398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80"/>
      <c r="AY69" s="280"/>
      <c r="AZ69" s="277">
        <v>2.5132275132275131E-2</v>
      </c>
      <c r="BA69" s="276">
        <f t="shared" ref="BA69" si="14">AZ69/$AZ$76</f>
        <v>4.5346062052505964E-2</v>
      </c>
      <c r="BB69" s="279"/>
      <c r="BC69" s="280"/>
      <c r="BD69" s="280"/>
      <c r="BE69" s="279"/>
      <c r="BF69" s="279"/>
      <c r="BG69" s="281"/>
      <c r="BH69" s="279"/>
    </row>
    <row r="70" spans="1:60" s="35" customFormat="1" ht="21.75" thickBot="1" x14ac:dyDescent="0.3">
      <c r="A70" s="188"/>
      <c r="B70" s="188"/>
      <c r="D70" s="138"/>
      <c r="E70" s="106"/>
      <c r="F70" s="106"/>
      <c r="G70" s="139"/>
      <c r="H70" s="139"/>
      <c r="I70" s="139"/>
      <c r="J70" s="139"/>
      <c r="K70" s="139"/>
      <c r="L70" s="139"/>
      <c r="M70" s="341"/>
      <c r="N70" s="140"/>
      <c r="P70" s="282"/>
      <c r="Q70" s="279"/>
      <c r="R70" s="279"/>
      <c r="S70" s="279"/>
      <c r="T70" s="279"/>
      <c r="U70" s="279"/>
      <c r="V70" s="279"/>
      <c r="W70" s="279"/>
      <c r="X70" s="279"/>
      <c r="Y70" s="279"/>
      <c r="Z70" s="256"/>
      <c r="AA70" s="279"/>
      <c r="AB70" s="256"/>
      <c r="AC70" s="256"/>
      <c r="AD70" s="279"/>
      <c r="AE70" s="279"/>
      <c r="AF70" s="279"/>
      <c r="AG70" s="398"/>
      <c r="AH70" s="279"/>
      <c r="AI70" s="398"/>
      <c r="AJ70" s="256"/>
      <c r="AK70" s="268"/>
      <c r="AL70" s="279"/>
      <c r="AM70" s="398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80"/>
      <c r="AY70" s="280"/>
      <c r="AZ70" s="277">
        <v>3.0423280423280422E-2</v>
      </c>
      <c r="BA70" s="276">
        <f t="shared" ref="BA70:BA76" si="15">AZ70/$AZ$76</f>
        <v>5.4892601431980909E-2</v>
      </c>
      <c r="BB70" s="279"/>
      <c r="BC70" s="280"/>
      <c r="BD70" s="280"/>
      <c r="BE70" s="279"/>
      <c r="BF70" s="279"/>
      <c r="BG70" s="281"/>
      <c r="BH70" s="279"/>
    </row>
    <row r="71" spans="1:60" s="35" customFormat="1" x14ac:dyDescent="0.25">
      <c r="A71" s="188"/>
      <c r="B71" s="188"/>
      <c r="D71" s="477" t="s">
        <v>11</v>
      </c>
      <c r="E71" s="172" t="s">
        <v>284</v>
      </c>
      <c r="F71" s="173"/>
      <c r="G71" s="479">
        <f>SUMIF($D$11:$D$64,"x",$N$11:$N$64)</f>
        <v>0</v>
      </c>
      <c r="H71" s="480"/>
      <c r="I71" s="480"/>
      <c r="J71" s="480"/>
      <c r="K71" s="480"/>
      <c r="L71" s="481"/>
      <c r="M71" s="342"/>
      <c r="N71" s="141"/>
      <c r="P71" s="283" t="s">
        <v>6</v>
      </c>
      <c r="Q71" s="279"/>
      <c r="R71" s="279"/>
      <c r="S71" s="279"/>
      <c r="T71" s="279"/>
      <c r="U71" s="279"/>
      <c r="V71" s="279"/>
      <c r="W71" s="279"/>
      <c r="X71" s="279"/>
      <c r="Y71" s="279"/>
      <c r="Z71" s="256"/>
      <c r="AA71" s="279"/>
      <c r="AB71" s="256"/>
      <c r="AC71" s="256"/>
      <c r="AD71" s="279"/>
      <c r="AE71" s="279"/>
      <c r="AF71" s="279"/>
      <c r="AG71" s="398"/>
      <c r="AH71" s="279"/>
      <c r="AI71" s="398"/>
      <c r="AJ71" s="256"/>
      <c r="AK71" s="268"/>
      <c r="AL71" s="279"/>
      <c r="AM71" s="398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80"/>
      <c r="AY71" s="280"/>
      <c r="AZ71" s="284">
        <v>3.439153439153439E-2</v>
      </c>
      <c r="BA71" s="276">
        <f t="shared" si="15"/>
        <v>6.2052505966587117E-2</v>
      </c>
      <c r="BB71" s="279"/>
      <c r="BC71" s="280"/>
      <c r="BD71" s="280"/>
      <c r="BE71" s="279"/>
      <c r="BF71" s="279"/>
      <c r="BG71" s="281"/>
      <c r="BH71" s="279"/>
    </row>
    <row r="72" spans="1:60" s="36" customFormat="1" thickBot="1" x14ac:dyDescent="0.35">
      <c r="A72" s="189"/>
      <c r="B72" s="189"/>
      <c r="D72" s="478"/>
      <c r="E72" s="174" t="s">
        <v>16</v>
      </c>
      <c r="F72" s="175"/>
      <c r="G72" s="176">
        <f t="shared" ref="G72:L72" si="16">$G$71-G65</f>
        <v>0</v>
      </c>
      <c r="H72" s="176">
        <f t="shared" si="16"/>
        <v>-35</v>
      </c>
      <c r="I72" s="176">
        <f t="shared" si="16"/>
        <v>-75</v>
      </c>
      <c r="J72" s="176">
        <f t="shared" si="16"/>
        <v>-120</v>
      </c>
      <c r="K72" s="176">
        <f t="shared" si="16"/>
        <v>-150</v>
      </c>
      <c r="L72" s="177">
        <f t="shared" si="16"/>
        <v>-225</v>
      </c>
      <c r="M72" s="343"/>
      <c r="N72" s="142"/>
      <c r="P72" s="285" t="s">
        <v>6</v>
      </c>
      <c r="Q72" s="286"/>
      <c r="R72" s="286"/>
      <c r="S72" s="286"/>
      <c r="T72" s="286"/>
      <c r="U72" s="286"/>
      <c r="V72" s="286"/>
      <c r="W72" s="286"/>
      <c r="X72" s="286"/>
      <c r="Y72" s="286"/>
      <c r="Z72" s="256"/>
      <c r="AA72" s="286"/>
      <c r="AB72" s="256"/>
      <c r="AC72" s="256"/>
      <c r="AD72" s="286"/>
      <c r="AE72" s="286"/>
      <c r="AF72" s="286"/>
      <c r="AG72" s="399"/>
      <c r="AH72" s="286"/>
      <c r="AI72" s="399"/>
      <c r="AJ72" s="256"/>
      <c r="AK72" s="268"/>
      <c r="AL72" s="286"/>
      <c r="AM72" s="399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7"/>
      <c r="AY72" s="287"/>
      <c r="AZ72" s="276">
        <v>3.968253968253968E-2</v>
      </c>
      <c r="BA72" s="276">
        <f t="shared" si="15"/>
        <v>7.1599045346062054E-2</v>
      </c>
      <c r="BB72" s="286"/>
      <c r="BC72" s="287"/>
      <c r="BD72" s="287"/>
      <c r="BE72" s="286"/>
      <c r="BF72" s="286"/>
      <c r="BG72" s="288"/>
      <c r="BH72" s="286"/>
    </row>
    <row r="73" spans="1:60" s="21" customFormat="1" ht="17.25" thickBot="1" x14ac:dyDescent="0.35">
      <c r="A73" s="183"/>
      <c r="B73" s="183"/>
      <c r="D73" s="143"/>
      <c r="G73" s="107"/>
      <c r="H73" s="107"/>
      <c r="I73" s="107"/>
      <c r="J73" s="107"/>
      <c r="K73" s="107"/>
      <c r="L73" s="107"/>
      <c r="M73" s="334"/>
      <c r="N73" s="116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256"/>
      <c r="AA73" s="182"/>
      <c r="AB73" s="256"/>
      <c r="AC73" s="256"/>
      <c r="AD73" s="182"/>
      <c r="AE73" s="182"/>
      <c r="AF73" s="182"/>
      <c r="AG73" s="201"/>
      <c r="AH73" s="182"/>
      <c r="AI73" s="201"/>
      <c r="AJ73" s="256"/>
      <c r="AK73" s="268"/>
      <c r="AL73" s="182"/>
      <c r="AM73" s="201"/>
      <c r="AN73" s="182"/>
      <c r="AO73" s="182"/>
      <c r="AP73" s="182"/>
      <c r="AQ73" s="182"/>
      <c r="AR73" s="202"/>
      <c r="AS73" s="202"/>
      <c r="AT73" s="182"/>
      <c r="AU73" s="182"/>
      <c r="AV73" s="202"/>
      <c r="AW73" s="202"/>
      <c r="AX73" s="182"/>
      <c r="AY73" s="182"/>
      <c r="AZ73" s="284">
        <v>4.7619047619047616E-2</v>
      </c>
      <c r="BA73" s="276">
        <f t="shared" si="15"/>
        <v>8.591885441527447E-2</v>
      </c>
      <c r="BB73" s="182"/>
      <c r="BC73" s="182"/>
      <c r="BD73" s="182"/>
      <c r="BE73" s="202"/>
      <c r="BF73" s="202"/>
      <c r="BG73" s="203"/>
      <c r="BH73" s="182"/>
    </row>
    <row r="74" spans="1:60" s="36" customFormat="1" ht="15.75" x14ac:dyDescent="0.3">
      <c r="A74" s="189"/>
      <c r="B74" s="189"/>
      <c r="D74" s="482" t="s">
        <v>12</v>
      </c>
      <c r="E74" s="178" t="s">
        <v>285</v>
      </c>
      <c r="F74" s="179"/>
      <c r="G74" s="180">
        <f t="shared" ref="G74:L74" si="17">SUMIFS($N$11:$N$64,$D$11:$D$64,"",G$11:G$64,"µ")</f>
        <v>0</v>
      </c>
      <c r="H74" s="180">
        <f t="shared" si="17"/>
        <v>42.85</v>
      </c>
      <c r="I74" s="180">
        <f t="shared" si="17"/>
        <v>94.800000000000011</v>
      </c>
      <c r="J74" s="180">
        <f t="shared" si="17"/>
        <v>174.68000000000009</v>
      </c>
      <c r="K74" s="180">
        <f t="shared" si="17"/>
        <v>214.58000000000007</v>
      </c>
      <c r="L74" s="181">
        <f t="shared" si="17"/>
        <v>306.43000000000006</v>
      </c>
      <c r="M74" s="343"/>
      <c r="N74" s="142"/>
      <c r="P74" s="285" t="s">
        <v>6</v>
      </c>
      <c r="Q74" s="286"/>
      <c r="R74" s="286"/>
      <c r="S74" s="286"/>
      <c r="T74" s="286"/>
      <c r="U74" s="286"/>
      <c r="V74" s="286"/>
      <c r="W74" s="286"/>
      <c r="X74" s="286"/>
      <c r="Y74" s="286"/>
      <c r="Z74" s="256"/>
      <c r="AA74" s="289"/>
      <c r="AB74" s="256"/>
      <c r="AC74" s="256"/>
      <c r="AD74" s="289"/>
      <c r="AE74" s="286"/>
      <c r="AF74" s="289" t="s">
        <v>113</v>
      </c>
      <c r="AG74" s="400"/>
      <c r="AH74" s="289"/>
      <c r="AI74" s="400"/>
      <c r="AJ74" s="256"/>
      <c r="AK74" s="268"/>
      <c r="AL74" s="289"/>
      <c r="AM74" s="400"/>
      <c r="AN74" s="289"/>
      <c r="AO74" s="289"/>
      <c r="AP74" s="286"/>
      <c r="AQ74" s="286"/>
      <c r="AR74" s="286"/>
      <c r="AS74" s="286"/>
      <c r="AT74" s="286"/>
      <c r="AU74" s="286"/>
      <c r="AV74" s="286"/>
      <c r="AW74" s="286"/>
      <c r="AX74" s="287"/>
      <c r="AY74" s="287"/>
      <c r="AZ74" s="284">
        <v>5.1587301587301584E-2</v>
      </c>
      <c r="BA74" s="276">
        <f t="shared" si="15"/>
        <v>9.3078758949880672E-2</v>
      </c>
      <c r="BB74" s="286"/>
      <c r="BC74" s="287"/>
      <c r="BD74" s="287"/>
      <c r="BE74" s="286"/>
      <c r="BF74" s="286"/>
      <c r="BG74" s="288"/>
      <c r="BH74" s="286"/>
    </row>
    <row r="75" spans="1:60" s="36" customFormat="1" thickBot="1" x14ac:dyDescent="0.35">
      <c r="A75" s="189"/>
      <c r="B75" s="189"/>
      <c r="D75" s="483"/>
      <c r="E75" s="174" t="s">
        <v>20</v>
      </c>
      <c r="F75" s="175"/>
      <c r="G75" s="176">
        <f t="shared" ref="G75:L75" si="18">$G$71+G74</f>
        <v>0</v>
      </c>
      <c r="H75" s="176">
        <f t="shared" si="18"/>
        <v>42.85</v>
      </c>
      <c r="I75" s="176">
        <f t="shared" si="18"/>
        <v>94.800000000000011</v>
      </c>
      <c r="J75" s="176">
        <f t="shared" si="18"/>
        <v>174.68000000000009</v>
      </c>
      <c r="K75" s="176">
        <f t="shared" si="18"/>
        <v>214.58000000000007</v>
      </c>
      <c r="L75" s="177">
        <f t="shared" si="18"/>
        <v>306.43000000000006</v>
      </c>
      <c r="M75" s="343"/>
      <c r="N75" s="142"/>
      <c r="P75" s="285" t="s">
        <v>6</v>
      </c>
      <c r="Q75" s="286"/>
      <c r="R75" s="286"/>
      <c r="S75" s="286"/>
      <c r="T75" s="286"/>
      <c r="U75" s="286"/>
      <c r="V75" s="286"/>
      <c r="W75" s="286"/>
      <c r="X75" s="286"/>
      <c r="Y75" s="286" t="s">
        <v>112</v>
      </c>
      <c r="Z75" s="256"/>
      <c r="AA75" s="286"/>
      <c r="AB75" s="256"/>
      <c r="AC75" s="256"/>
      <c r="AD75" s="286"/>
      <c r="AE75" s="286"/>
      <c r="AF75" s="286" t="s">
        <v>112</v>
      </c>
      <c r="AG75" s="399"/>
      <c r="AH75" s="286"/>
      <c r="AI75" s="399"/>
      <c r="AJ75" s="256"/>
      <c r="AK75" s="268"/>
      <c r="AL75" s="286"/>
      <c r="AM75" s="399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7"/>
      <c r="AY75" s="287"/>
      <c r="AZ75" s="284">
        <v>0.23809523809523808</v>
      </c>
      <c r="BA75" s="276">
        <f t="shared" si="15"/>
        <v>0.42959427207637235</v>
      </c>
      <c r="BB75" s="286"/>
      <c r="BC75" s="287"/>
      <c r="BD75" s="287"/>
      <c r="BE75" s="286"/>
      <c r="BF75" s="286"/>
      <c r="BG75" s="288"/>
      <c r="BH75" s="286"/>
    </row>
    <row r="76" spans="1:60" s="36" customFormat="1" thickBot="1" x14ac:dyDescent="0.35">
      <c r="A76" s="189"/>
      <c r="B76" s="189"/>
      <c r="D76" s="484"/>
      <c r="E76" s="174" t="s">
        <v>286</v>
      </c>
      <c r="F76" s="175"/>
      <c r="G76" s="176">
        <f t="shared" ref="G76:L76" si="19">G75-G65</f>
        <v>0</v>
      </c>
      <c r="H76" s="176">
        <f t="shared" si="19"/>
        <v>7.8500000000000014</v>
      </c>
      <c r="I76" s="176">
        <f t="shared" si="19"/>
        <v>19.800000000000011</v>
      </c>
      <c r="J76" s="176">
        <f t="shared" si="19"/>
        <v>54.680000000000092</v>
      </c>
      <c r="K76" s="176">
        <f t="shared" si="19"/>
        <v>64.580000000000069</v>
      </c>
      <c r="L76" s="177">
        <f t="shared" si="19"/>
        <v>81.430000000000064</v>
      </c>
      <c r="M76" s="343"/>
      <c r="N76" s="142"/>
      <c r="P76" s="285" t="s">
        <v>6</v>
      </c>
      <c r="Q76" s="286"/>
      <c r="R76" s="286"/>
      <c r="S76" s="286"/>
      <c r="T76" s="286"/>
      <c r="U76" s="286"/>
      <c r="V76" s="286"/>
      <c r="W76" s="286"/>
      <c r="X76" s="286"/>
      <c r="Y76" s="290">
        <f>Y83+AA84*AE83</f>
        <v>27408.165517241381</v>
      </c>
      <c r="Z76" s="286"/>
      <c r="AA76" s="286"/>
      <c r="AB76" s="286"/>
      <c r="AC76" s="286"/>
      <c r="AD76" s="286"/>
      <c r="AE76" s="286"/>
      <c r="AF76" s="290" t="e">
        <f>AJ83+AJ$107*#REF!</f>
        <v>#REF!</v>
      </c>
      <c r="AG76" s="399"/>
      <c r="AH76" s="286"/>
      <c r="AI76" s="399"/>
      <c r="AJ76" s="286"/>
      <c r="AK76" s="399"/>
      <c r="AL76" s="286"/>
      <c r="AM76" s="399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7"/>
      <c r="AY76" s="287"/>
      <c r="AZ76" s="284">
        <f>SUM(AZ65:AZ75)</f>
        <v>0.55423280423280419</v>
      </c>
      <c r="BA76" s="276">
        <f t="shared" si="15"/>
        <v>1</v>
      </c>
      <c r="BB76" s="286"/>
      <c r="BC76" s="287"/>
      <c r="BD76" s="287"/>
      <c r="BE76" s="286"/>
      <c r="BF76" s="286"/>
      <c r="BG76" s="288"/>
      <c r="BH76" s="286"/>
    </row>
    <row r="77" spans="1:60" s="37" customFormat="1" ht="15" x14ac:dyDescent="0.3">
      <c r="A77" s="190"/>
      <c r="B77" s="190"/>
      <c r="D77" s="143"/>
      <c r="G77" s="144"/>
      <c r="H77" s="144"/>
      <c r="I77" s="144"/>
      <c r="J77" s="144"/>
      <c r="K77" s="144"/>
      <c r="L77" s="144"/>
      <c r="M77" s="344"/>
      <c r="N77" s="145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2"/>
      <c r="AD77" s="291"/>
      <c r="AE77" s="291"/>
      <c r="AF77" s="291"/>
      <c r="AG77" s="401"/>
      <c r="AH77" s="291"/>
      <c r="AI77" s="401"/>
      <c r="AJ77" s="291"/>
      <c r="AK77" s="401"/>
      <c r="AL77" s="291"/>
      <c r="AM77" s="401"/>
      <c r="AN77" s="291"/>
      <c r="AO77" s="291"/>
      <c r="AP77" s="291"/>
      <c r="AQ77" s="291"/>
      <c r="AR77" s="292"/>
      <c r="AS77" s="292"/>
      <c r="AT77" s="291"/>
      <c r="AU77" s="291"/>
      <c r="AV77" s="292"/>
      <c r="AW77" s="292"/>
      <c r="AX77" s="291"/>
      <c r="AY77" s="291"/>
      <c r="AZ77" s="292"/>
      <c r="BA77" s="292"/>
      <c r="BB77" s="291"/>
      <c r="BC77" s="291"/>
      <c r="BD77" s="291"/>
      <c r="BE77" s="292"/>
      <c r="BF77" s="292"/>
      <c r="BG77" s="293"/>
      <c r="BH77" s="291"/>
    </row>
    <row r="78" spans="1:60" s="21" customFormat="1" collapsed="1" x14ac:dyDescent="0.3">
      <c r="A78" s="191"/>
      <c r="B78" s="191"/>
      <c r="C78" s="125"/>
      <c r="G78" s="107"/>
      <c r="H78" s="107"/>
      <c r="I78" s="107"/>
      <c r="J78" s="115"/>
      <c r="K78" s="115"/>
      <c r="L78" s="115"/>
      <c r="M78" s="345"/>
      <c r="N78" s="146"/>
      <c r="O78" s="147"/>
      <c r="P78" s="294"/>
      <c r="Q78" s="182"/>
      <c r="R78" s="291"/>
      <c r="S78" s="291"/>
      <c r="T78" s="291"/>
      <c r="U78" s="291"/>
      <c r="V78" s="291"/>
      <c r="W78" s="291"/>
      <c r="X78" s="291"/>
      <c r="Y78" s="488" t="s">
        <v>208</v>
      </c>
      <c r="Z78" s="488"/>
      <c r="AA78" s="291"/>
      <c r="AB78" s="291"/>
      <c r="AC78" s="292"/>
      <c r="AD78" s="291"/>
      <c r="AE78" s="291"/>
      <c r="AF78" s="485" t="s">
        <v>205</v>
      </c>
      <c r="AG78" s="486"/>
      <c r="AH78" s="486"/>
      <c r="AI78" s="487"/>
      <c r="AJ78" s="485" t="s">
        <v>206</v>
      </c>
      <c r="AK78" s="486"/>
      <c r="AL78" s="486"/>
      <c r="AM78" s="487"/>
      <c r="AN78" s="291"/>
      <c r="AO78" s="291"/>
      <c r="AP78" s="472" t="s">
        <v>197</v>
      </c>
      <c r="AQ78" s="473"/>
      <c r="AR78" s="473"/>
      <c r="AS78" s="474"/>
      <c r="AT78" s="472" t="s">
        <v>68</v>
      </c>
      <c r="AU78" s="473"/>
      <c r="AV78" s="473"/>
      <c r="AW78" s="474"/>
      <c r="AX78" s="472" t="s">
        <v>70</v>
      </c>
      <c r="AY78" s="473"/>
      <c r="AZ78" s="473"/>
      <c r="BA78" s="473"/>
      <c r="BB78" s="471" t="s">
        <v>69</v>
      </c>
      <c r="BC78" s="471"/>
      <c r="BD78" s="471"/>
      <c r="BE78" s="471"/>
      <c r="BF78" s="471"/>
      <c r="BG78" s="471" t="s">
        <v>71</v>
      </c>
      <c r="BH78" s="471"/>
    </row>
    <row r="79" spans="1:60" s="21" customFormat="1" x14ac:dyDescent="0.3">
      <c r="A79" s="191"/>
      <c r="B79" s="191"/>
      <c r="C79" s="125"/>
      <c r="D79" s="148" t="s">
        <v>23</v>
      </c>
      <c r="G79" s="107"/>
      <c r="H79" s="107"/>
      <c r="I79" s="107"/>
      <c r="J79" s="115"/>
      <c r="K79" s="115"/>
      <c r="L79" s="115"/>
      <c r="M79" s="345"/>
      <c r="N79" s="146"/>
      <c r="O79" s="147"/>
      <c r="P79" s="294"/>
      <c r="Q79" s="182"/>
      <c r="R79" s="296" t="s">
        <v>52</v>
      </c>
      <c r="S79" s="296" t="s">
        <v>53</v>
      </c>
      <c r="T79" s="296" t="s">
        <v>24</v>
      </c>
      <c r="U79" s="296" t="s">
        <v>55</v>
      </c>
      <c r="V79" s="296" t="s">
        <v>54</v>
      </c>
      <c r="W79" s="296" t="s">
        <v>56</v>
      </c>
      <c r="X79" s="296" t="s">
        <v>57</v>
      </c>
      <c r="Y79" s="296" t="s">
        <v>58</v>
      </c>
      <c r="Z79" s="296" t="s">
        <v>61</v>
      </c>
      <c r="AA79" s="296" t="s">
        <v>65</v>
      </c>
      <c r="AB79" s="296" t="s">
        <v>60</v>
      </c>
      <c r="AC79" s="297" t="s">
        <v>62</v>
      </c>
      <c r="AD79" s="296" t="s">
        <v>67</v>
      </c>
      <c r="AE79" s="296" t="s">
        <v>66</v>
      </c>
      <c r="AF79" s="296" t="s">
        <v>207</v>
      </c>
      <c r="AG79" s="295" t="s">
        <v>59</v>
      </c>
      <c r="AH79" s="363" t="s">
        <v>61</v>
      </c>
      <c r="AI79" s="295" t="s">
        <v>59</v>
      </c>
      <c r="AJ79" s="296" t="s">
        <v>207</v>
      </c>
      <c r="AK79" s="295" t="s">
        <v>59</v>
      </c>
      <c r="AL79" s="363" t="s">
        <v>61</v>
      </c>
      <c r="AM79" s="295" t="s">
        <v>59</v>
      </c>
      <c r="AN79" s="296" t="s">
        <v>63</v>
      </c>
      <c r="AO79" s="296" t="s">
        <v>64</v>
      </c>
      <c r="AP79" s="296" t="s">
        <v>29</v>
      </c>
      <c r="AQ79" s="296" t="s">
        <v>110</v>
      </c>
      <c r="AR79" s="297" t="s">
        <v>28</v>
      </c>
      <c r="AS79" s="297" t="s">
        <v>111</v>
      </c>
      <c r="AT79" s="363" t="s">
        <v>29</v>
      </c>
      <c r="AU79" s="363" t="s">
        <v>110</v>
      </c>
      <c r="AV79" s="297" t="s">
        <v>28</v>
      </c>
      <c r="AW79" s="297" t="s">
        <v>111</v>
      </c>
      <c r="AX79" s="296" t="s">
        <v>29</v>
      </c>
      <c r="AY79" s="296" t="s">
        <v>110</v>
      </c>
      <c r="AZ79" s="297" t="s">
        <v>28</v>
      </c>
      <c r="BA79" s="297" t="s">
        <v>111</v>
      </c>
      <c r="BB79" s="363" t="s">
        <v>198</v>
      </c>
      <c r="BC79" s="296" t="s">
        <v>29</v>
      </c>
      <c r="BD79" s="296" t="s">
        <v>110</v>
      </c>
      <c r="BE79" s="297" t="s">
        <v>28</v>
      </c>
      <c r="BF79" s="297" t="s">
        <v>111</v>
      </c>
      <c r="BG79" s="298" t="s">
        <v>29</v>
      </c>
      <c r="BH79" s="296" t="s">
        <v>72</v>
      </c>
    </row>
    <row r="80" spans="1:60" s="45" customFormat="1" x14ac:dyDescent="0.3">
      <c r="A80" s="192"/>
      <c r="B80" s="192"/>
      <c r="C80" s="46"/>
      <c r="G80" s="45" t="s">
        <v>52</v>
      </c>
      <c r="H80" s="45" t="s">
        <v>24</v>
      </c>
      <c r="I80" s="45" t="s">
        <v>118</v>
      </c>
      <c r="J80" s="149" t="s">
        <v>116</v>
      </c>
      <c r="K80" s="149" t="s">
        <v>117</v>
      </c>
      <c r="L80" s="45" t="s">
        <v>227</v>
      </c>
      <c r="M80" s="150" t="s">
        <v>114</v>
      </c>
      <c r="N80" s="151" t="s">
        <v>115</v>
      </c>
      <c r="O80" s="147"/>
      <c r="P80" s="299"/>
      <c r="Q80" s="300"/>
      <c r="R80" s="301">
        <v>0</v>
      </c>
      <c r="S80" s="302">
        <f>WEEKDAY(T80)</f>
        <v>4</v>
      </c>
      <c r="T80" s="303">
        <v>44244</v>
      </c>
      <c r="U80" s="304">
        <v>0.66666666666666663</v>
      </c>
      <c r="V80" s="305">
        <f t="shared" ref="V80:V102" si="20">T80+U80</f>
        <v>44244.666666666664</v>
      </c>
      <c r="W80" s="306"/>
      <c r="X80" s="306"/>
      <c r="Y80" s="307">
        <v>0</v>
      </c>
      <c r="Z80" s="309">
        <v>0</v>
      </c>
      <c r="AA80" s="311"/>
      <c r="AB80" s="308"/>
      <c r="AC80" s="310"/>
      <c r="AD80" s="312"/>
      <c r="AE80" s="310"/>
      <c r="AF80" s="308">
        <f>AK80</f>
        <v>0</v>
      </c>
      <c r="AG80" s="308"/>
      <c r="AH80" s="405"/>
      <c r="AI80" s="405"/>
      <c r="AJ80" s="308"/>
      <c r="AK80" s="308"/>
      <c r="AL80" s="405"/>
      <c r="AM80" s="405"/>
      <c r="AN80" s="308"/>
      <c r="AO80" s="308"/>
      <c r="AP80" s="313">
        <f t="shared" ref="AP80:AP102" si="21">AB80/$Y$102</f>
        <v>0</v>
      </c>
      <c r="AQ80" s="313">
        <f>AP80</f>
        <v>0</v>
      </c>
      <c r="AR80" s="314">
        <f t="shared" ref="AR80:AR102" si="22">AA80/$Z$107</f>
        <v>0</v>
      </c>
      <c r="AS80" s="314"/>
      <c r="AT80" s="313">
        <v>0</v>
      </c>
      <c r="AU80" s="313">
        <v>0</v>
      </c>
      <c r="AV80" s="314">
        <v>0</v>
      </c>
      <c r="AW80" s="314"/>
      <c r="AX80" s="313">
        <f>AN80/$Y$102</f>
        <v>0</v>
      </c>
      <c r="AY80" s="313">
        <f>AX80</f>
        <v>0</v>
      </c>
      <c r="AZ80" s="314">
        <f>AP80/$Z$107</f>
        <v>0</v>
      </c>
      <c r="BA80" s="314"/>
      <c r="BB80" s="315">
        <f>Vergleich!C3</f>
        <v>0</v>
      </c>
      <c r="BC80" s="238"/>
      <c r="BD80" s="313">
        <f>BC80</f>
        <v>0</v>
      </c>
      <c r="BE80" s="316"/>
      <c r="BF80" s="314"/>
      <c r="BG80" s="315"/>
      <c r="BH80" s="313"/>
    </row>
    <row r="81" spans="1:60" s="112" customFormat="1" x14ac:dyDescent="0.3">
      <c r="A81" s="193"/>
      <c r="B81" s="193"/>
      <c r="C81" s="126"/>
      <c r="G81" s="109">
        <v>0</v>
      </c>
      <c r="H81" s="428">
        <f>V80</f>
        <v>44244.666666666664</v>
      </c>
      <c r="I81" s="154">
        <f>Y80</f>
        <v>0</v>
      </c>
      <c r="J81" s="155">
        <f>AF80</f>
        <v>0</v>
      </c>
      <c r="K81" s="155">
        <f>AJ80</f>
        <v>0</v>
      </c>
      <c r="L81" s="112">
        <v>0</v>
      </c>
      <c r="M81" s="152">
        <f>I81/I$102</f>
        <v>0</v>
      </c>
      <c r="N81" s="153"/>
      <c r="O81" s="147"/>
      <c r="P81" s="317"/>
      <c r="Q81" s="253"/>
      <c r="R81" s="301">
        <v>0</v>
      </c>
      <c r="S81" s="302">
        <f>WEEKDAY(T81)</f>
        <v>4</v>
      </c>
      <c r="T81" s="303">
        <v>44244</v>
      </c>
      <c r="U81" s="304">
        <v>0.99998842592592585</v>
      </c>
      <c r="V81" s="305">
        <f t="shared" si="20"/>
        <v>44244.999988425923</v>
      </c>
      <c r="W81" s="306">
        <f t="shared" ref="W81:W102" si="23">V81-$V$80</f>
        <v>0.333321759258979</v>
      </c>
      <c r="X81" s="306"/>
      <c r="Y81" s="318">
        <v>16860</v>
      </c>
      <c r="Z81" s="319">
        <v>98</v>
      </c>
      <c r="AA81" s="320"/>
      <c r="AB81" s="308"/>
      <c r="AC81" s="310">
        <f t="shared" ref="AC81:AC102" si="24">Y81/Z81</f>
        <v>172.0408163265306</v>
      </c>
      <c r="AD81" s="312" t="e">
        <f>(AB81-Y80)/(AA81-Z80)</f>
        <v>#DIV/0!</v>
      </c>
      <c r="AE81" s="310" t="e">
        <f>SUM(AB81)/SUM(AA81)</f>
        <v>#DIV/0!</v>
      </c>
      <c r="AF81" s="308">
        <v>16860</v>
      </c>
      <c r="AG81" s="308">
        <f>Y81-AF81</f>
        <v>0</v>
      </c>
      <c r="AH81" s="405">
        <v>98</v>
      </c>
      <c r="AI81" s="406">
        <f>Z81-AH81</f>
        <v>0</v>
      </c>
      <c r="AJ81" s="308">
        <v>16860</v>
      </c>
      <c r="AK81" s="308">
        <f t="shared" ref="AK81:AK101" si="25">Y81-AJ81</f>
        <v>0</v>
      </c>
      <c r="AL81" s="406">
        <v>98</v>
      </c>
      <c r="AM81" s="406">
        <f>Z81-AL81</f>
        <v>0</v>
      </c>
      <c r="AN81" s="308">
        <f>AB81/W81</f>
        <v>0</v>
      </c>
      <c r="AO81" s="308">
        <f t="shared" ref="AO81:AO102" si="26">Y81/W81</f>
        <v>50581.756311025551</v>
      </c>
      <c r="AP81" s="313">
        <f t="shared" si="21"/>
        <v>0</v>
      </c>
      <c r="AQ81" s="313">
        <f>AQ80+AP81</f>
        <v>0</v>
      </c>
      <c r="AR81" s="314">
        <f t="shared" si="22"/>
        <v>0</v>
      </c>
      <c r="AS81" s="314">
        <f>AR81</f>
        <v>0</v>
      </c>
      <c r="AT81" s="313">
        <v>0.24557122124840888</v>
      </c>
      <c r="AU81" s="313">
        <v>0.24557122124840888</v>
      </c>
      <c r="AV81" s="314">
        <v>0.24159021406727829</v>
      </c>
      <c r="AW81" s="314">
        <v>0.24159021406727829</v>
      </c>
      <c r="AX81" s="313">
        <v>0.20305967479960829</v>
      </c>
      <c r="AY81" s="313">
        <f>AY80+AX81</f>
        <v>0.20305967479960829</v>
      </c>
      <c r="AZ81" s="314">
        <v>0.18386243386243387</v>
      </c>
      <c r="BA81" s="314">
        <f>AZ81</f>
        <v>0.18386243386243387</v>
      </c>
      <c r="BB81" s="315"/>
      <c r="BC81" s="313">
        <v>0.20659234902558346</v>
      </c>
      <c r="BD81" s="313">
        <f>BD80+BC81</f>
        <v>0.20659234902558346</v>
      </c>
      <c r="BE81" s="314">
        <v>0.1729106628242075</v>
      </c>
      <c r="BF81" s="314"/>
      <c r="BG81" s="315"/>
      <c r="BH81" s="313"/>
    </row>
    <row r="82" spans="1:60" s="112" customFormat="1" x14ac:dyDescent="0.3">
      <c r="A82" s="193"/>
      <c r="B82" s="193"/>
      <c r="C82" s="126"/>
      <c r="G82" s="109">
        <v>1</v>
      </c>
      <c r="H82" s="428">
        <f>V82</f>
        <v>44245.666666666664</v>
      </c>
      <c r="I82" s="154">
        <f t="shared" ref="I82:I102" si="27">Y82</f>
        <v>19612</v>
      </c>
      <c r="J82" s="155">
        <f t="shared" ref="J82:J101" si="28">AF82</f>
        <v>19612</v>
      </c>
      <c r="K82" s="155">
        <f t="shared" ref="K82:K101" si="29">AJ82</f>
        <v>19612</v>
      </c>
      <c r="L82" s="427">
        <f>BB82</f>
        <v>14771</v>
      </c>
      <c r="M82" s="152">
        <f t="shared" ref="M82:M102" si="30">I82/I$102</f>
        <v>0.21790868990344553</v>
      </c>
      <c r="N82" s="153">
        <f t="shared" ref="N82:N102" si="31">M82-M81</f>
        <v>0.21790868990344553</v>
      </c>
      <c r="O82" s="147"/>
      <c r="P82" s="317"/>
      <c r="Q82" s="253" t="s">
        <v>230</v>
      </c>
      <c r="R82" s="321">
        <v>1</v>
      </c>
      <c r="S82" s="302" t="s">
        <v>22</v>
      </c>
      <c r="T82" s="303">
        <f>T80+1</f>
        <v>44245</v>
      </c>
      <c r="U82" s="304">
        <v>0.66666666666666663</v>
      </c>
      <c r="V82" s="305">
        <f t="shared" si="20"/>
        <v>44245.666666666664</v>
      </c>
      <c r="W82" s="306">
        <f t="shared" si="23"/>
        <v>1</v>
      </c>
      <c r="X82" s="306">
        <f>W82-W80</f>
        <v>1</v>
      </c>
      <c r="Y82" s="318">
        <v>19612</v>
      </c>
      <c r="Z82" s="319">
        <v>115</v>
      </c>
      <c r="AA82" s="320">
        <f>Z82-Z80</f>
        <v>115</v>
      </c>
      <c r="AB82" s="308">
        <f>Y82-Y80</f>
        <v>19612</v>
      </c>
      <c r="AC82" s="310">
        <f t="shared" si="24"/>
        <v>170.53913043478261</v>
      </c>
      <c r="AD82" s="312">
        <f>(AB82-Y80)/(AA82-Z80)</f>
        <v>170.53913043478261</v>
      </c>
      <c r="AE82" s="312">
        <f>SUM(AB81:AB82)/SUM(AA81:AA82)</f>
        <v>170.53913043478261</v>
      </c>
      <c r="AF82" s="308">
        <v>19612</v>
      </c>
      <c r="AG82" s="308">
        <f>Y82-AF82</f>
        <v>0</v>
      </c>
      <c r="AH82" s="405">
        <v>115</v>
      </c>
      <c r="AI82" s="405">
        <f t="shared" ref="AI82:AI101" si="32">Z82-AH82</f>
        <v>0</v>
      </c>
      <c r="AJ82" s="308">
        <v>19612</v>
      </c>
      <c r="AK82" s="308">
        <f t="shared" si="25"/>
        <v>0</v>
      </c>
      <c r="AL82" s="406">
        <v>115</v>
      </c>
      <c r="AM82" s="405">
        <f t="shared" ref="AM82:AM101" si="33">Z82-AL82</f>
        <v>0</v>
      </c>
      <c r="AN82" s="308">
        <f t="shared" ref="AN82:AN102" si="34">AB82/X82</f>
        <v>19612</v>
      </c>
      <c r="AO82" s="308">
        <f t="shared" si="26"/>
        <v>19612</v>
      </c>
      <c r="AP82" s="313">
        <f t="shared" si="21"/>
        <v>0.21790868990344553</v>
      </c>
      <c r="AQ82" s="313">
        <f t="shared" ref="AQ82:AQ102" si="35">AQ81+AP82</f>
        <v>0.21790868990344553</v>
      </c>
      <c r="AR82" s="314">
        <f t="shared" si="22"/>
        <v>0.23279352226720648</v>
      </c>
      <c r="AS82" s="314">
        <f>SUM(AR$80:AR82)</f>
        <v>0.23279352226720648</v>
      </c>
      <c r="AT82" s="313">
        <v>4.9561783997210986E-2</v>
      </c>
      <c r="AU82" s="313">
        <v>0.29513300524561986</v>
      </c>
      <c r="AV82" s="314">
        <v>5.657492354740061E-2</v>
      </c>
      <c r="AW82" s="314">
        <v>0.29816513761467889</v>
      </c>
      <c r="AX82" s="313">
        <v>5.1641540743868043E-2</v>
      </c>
      <c r="AY82" s="313">
        <f t="shared" ref="AY82:AY102" si="36">AY81+AX82</f>
        <v>0.25470121554347636</v>
      </c>
      <c r="AZ82" s="314">
        <v>5.2910052910052907E-2</v>
      </c>
      <c r="BA82" s="314">
        <f>SUM(AZ$80:AZ82)</f>
        <v>0.23677248677248677</v>
      </c>
      <c r="BB82" s="315">
        <f>Vergleich!C4</f>
        <v>14771</v>
      </c>
      <c r="BC82" s="313">
        <v>3.0331221429144267E-2</v>
      </c>
      <c r="BD82" s="313">
        <f t="shared" ref="BD82:BD102" si="37">BD81+BC82</f>
        <v>0.23692357045472773</v>
      </c>
      <c r="BE82" s="314">
        <v>3.7463976945244948E-2</v>
      </c>
      <c r="BF82" s="314">
        <f>SUM(BE$80:BE82)</f>
        <v>0.21037463976945245</v>
      </c>
      <c r="BG82" s="315"/>
      <c r="BH82" s="313"/>
    </row>
    <row r="83" spans="1:60" s="112" customFormat="1" x14ac:dyDescent="0.3">
      <c r="A83" s="193"/>
      <c r="B83" s="193"/>
      <c r="C83" s="126"/>
      <c r="G83" s="109">
        <v>2</v>
      </c>
      <c r="H83" s="428">
        <f t="shared" ref="H83:H102" si="38">V83</f>
        <v>44246.666666666664</v>
      </c>
      <c r="I83" s="154">
        <f t="shared" si="27"/>
        <v>24532</v>
      </c>
      <c r="J83" s="155">
        <f t="shared" si="28"/>
        <v>24532</v>
      </c>
      <c r="K83" s="155">
        <f t="shared" si="29"/>
        <v>24532</v>
      </c>
      <c r="L83" s="427">
        <f t="shared" ref="L83:L102" si="39">BB83</f>
        <v>16764</v>
      </c>
      <c r="M83" s="152">
        <f t="shared" si="30"/>
        <v>0.27257474916945368</v>
      </c>
      <c r="N83" s="153">
        <f t="shared" si="31"/>
        <v>5.4666059266008149E-2</v>
      </c>
      <c r="O83" s="147"/>
      <c r="P83" s="317"/>
      <c r="Q83" s="253" t="s">
        <v>231</v>
      </c>
      <c r="R83" s="321">
        <v>2</v>
      </c>
      <c r="S83" s="322">
        <f t="shared" ref="S83:S102" si="40">WEEKDAY(T83)</f>
        <v>6</v>
      </c>
      <c r="T83" s="303">
        <f t="shared" ref="T83:T102" si="41">T82+1</f>
        <v>44246</v>
      </c>
      <c r="U83" s="304">
        <v>0.66666666666666663</v>
      </c>
      <c r="V83" s="305">
        <f t="shared" si="20"/>
        <v>44246.666666666664</v>
      </c>
      <c r="W83" s="306">
        <f t="shared" si="23"/>
        <v>2</v>
      </c>
      <c r="X83" s="306">
        <f t="shared" ref="X83:X102" si="42">W83-W82</f>
        <v>1</v>
      </c>
      <c r="Y83" s="318">
        <v>24532</v>
      </c>
      <c r="Z83" s="319">
        <v>145</v>
      </c>
      <c r="AA83" s="320">
        <f t="shared" ref="AA83:AA102" si="43">Z83-Z82</f>
        <v>30</v>
      </c>
      <c r="AB83" s="308">
        <f t="shared" ref="AB83:AB102" si="44">Y83-Y82</f>
        <v>4920</v>
      </c>
      <c r="AC83" s="310">
        <f t="shared" si="24"/>
        <v>169.18620689655174</v>
      </c>
      <c r="AD83" s="312">
        <f t="shared" ref="AD83:AD103" si="45">AB83/AA83</f>
        <v>164</v>
      </c>
      <c r="AE83" s="312">
        <f>SUM(AB81:AB83)/SUM(AA81:AA83)</f>
        <v>169.18620689655174</v>
      </c>
      <c r="AF83" s="308">
        <v>24532</v>
      </c>
      <c r="AG83" s="308">
        <f>Y83-AF83</f>
        <v>0</v>
      </c>
      <c r="AH83" s="405">
        <v>145</v>
      </c>
      <c r="AI83" s="405">
        <f t="shared" si="32"/>
        <v>0</v>
      </c>
      <c r="AJ83" s="308">
        <v>24532</v>
      </c>
      <c r="AK83" s="308">
        <f t="shared" si="25"/>
        <v>0</v>
      </c>
      <c r="AL83" s="406">
        <v>145</v>
      </c>
      <c r="AM83" s="405">
        <f t="shared" si="33"/>
        <v>0</v>
      </c>
      <c r="AN83" s="308">
        <f t="shared" si="34"/>
        <v>4920</v>
      </c>
      <c r="AO83" s="308">
        <f t="shared" si="26"/>
        <v>12266</v>
      </c>
      <c r="AP83" s="313">
        <f t="shared" si="21"/>
        <v>5.4666059266008156E-2</v>
      </c>
      <c r="AQ83" s="323">
        <f t="shared" si="35"/>
        <v>0.27257474916945368</v>
      </c>
      <c r="AR83" s="314">
        <f t="shared" si="22"/>
        <v>6.0728744939271252E-2</v>
      </c>
      <c r="AS83" s="314">
        <f>SUM(AR$80:AR83)</f>
        <v>0.29352226720647773</v>
      </c>
      <c r="AT83" s="313">
        <v>5.0729278990765438E-2</v>
      </c>
      <c r="AU83" s="323">
        <v>0.34586228423638532</v>
      </c>
      <c r="AV83" s="314">
        <v>5.8103975535168197E-2</v>
      </c>
      <c r="AW83" s="314">
        <v>0.35626911314984711</v>
      </c>
      <c r="AX83" s="313">
        <v>3.5680569481825485E-2</v>
      </c>
      <c r="AY83" s="323">
        <f t="shared" si="36"/>
        <v>0.29038178502530182</v>
      </c>
      <c r="AZ83" s="314">
        <v>3.5714285714285712E-2</v>
      </c>
      <c r="BA83" s="314">
        <f>SUM(AZ$80:AZ83)</f>
        <v>0.2724867724867725</v>
      </c>
      <c r="BB83" s="315">
        <f>Vergleich!C5</f>
        <v>16764</v>
      </c>
      <c r="BC83" s="313">
        <v>3.1967278851551872E-2</v>
      </c>
      <c r="BD83" s="323">
        <f t="shared" si="37"/>
        <v>0.2688908493062796</v>
      </c>
      <c r="BE83" s="314">
        <v>2.5936599423631135E-2</v>
      </c>
      <c r="BF83" s="314">
        <f>SUM(BE$80:BE83)</f>
        <v>0.23631123919308358</v>
      </c>
      <c r="BG83" s="315">
        <v>65000</v>
      </c>
      <c r="BH83" s="323">
        <f>BG83/$BG$103</f>
        <v>0.24436090225563908</v>
      </c>
    </row>
    <row r="84" spans="1:60" s="112" customFormat="1" x14ac:dyDescent="0.3">
      <c r="A84" s="193"/>
      <c r="B84" s="193"/>
      <c r="C84" s="126"/>
      <c r="G84" s="109">
        <v>3</v>
      </c>
      <c r="H84" s="428">
        <f t="shared" si="38"/>
        <v>44247.666666666664</v>
      </c>
      <c r="I84" s="154">
        <f t="shared" si="27"/>
        <v>27671</v>
      </c>
      <c r="J84" s="155">
        <f t="shared" si="28"/>
        <v>27671</v>
      </c>
      <c r="K84" s="155">
        <f t="shared" si="29"/>
        <v>27671</v>
      </c>
      <c r="L84" s="427">
        <f t="shared" si="39"/>
        <v>17674</v>
      </c>
      <c r="M84" s="152">
        <f t="shared" si="30"/>
        <v>0.30745213942067312</v>
      </c>
      <c r="N84" s="153">
        <f t="shared" si="31"/>
        <v>3.4877390251219442E-2</v>
      </c>
      <c r="O84" s="408"/>
      <c r="P84" s="324"/>
      <c r="Q84" s="253" t="s">
        <v>232</v>
      </c>
      <c r="R84" s="321">
        <v>3</v>
      </c>
      <c r="S84" s="322">
        <f t="shared" si="40"/>
        <v>7</v>
      </c>
      <c r="T84" s="303">
        <f t="shared" si="41"/>
        <v>44247</v>
      </c>
      <c r="U84" s="304">
        <v>0.66666666666666663</v>
      </c>
      <c r="V84" s="305">
        <f t="shared" si="20"/>
        <v>44247.666666666664</v>
      </c>
      <c r="W84" s="306">
        <f t="shared" si="23"/>
        <v>3</v>
      </c>
      <c r="X84" s="306">
        <f t="shared" si="42"/>
        <v>1</v>
      </c>
      <c r="Y84" s="318">
        <v>27671</v>
      </c>
      <c r="Z84" s="319">
        <v>162</v>
      </c>
      <c r="AA84" s="320">
        <f t="shared" si="43"/>
        <v>17</v>
      </c>
      <c r="AB84" s="308">
        <f t="shared" si="44"/>
        <v>3139</v>
      </c>
      <c r="AC84" s="310">
        <f t="shared" si="24"/>
        <v>170.80864197530863</v>
      </c>
      <c r="AD84" s="312">
        <f t="shared" si="45"/>
        <v>184.64705882352942</v>
      </c>
      <c r="AE84" s="312">
        <f>SUM(AB81:AB84)/SUM(AA81:AA84)</f>
        <v>170.80864197530863</v>
      </c>
      <c r="AF84" s="308">
        <v>27671</v>
      </c>
      <c r="AG84" s="308"/>
      <c r="AH84" s="405">
        <v>162</v>
      </c>
      <c r="AI84" s="405">
        <f t="shared" si="32"/>
        <v>0</v>
      </c>
      <c r="AJ84" s="308">
        <v>27671</v>
      </c>
      <c r="AK84" s="308">
        <f t="shared" si="25"/>
        <v>0</v>
      </c>
      <c r="AL84" s="406">
        <v>162</v>
      </c>
      <c r="AM84" s="405">
        <f t="shared" ref="AM84" si="46">Z84-AL84</f>
        <v>0</v>
      </c>
      <c r="AN84" s="308">
        <f t="shared" si="34"/>
        <v>3139</v>
      </c>
      <c r="AO84" s="308">
        <f t="shared" si="26"/>
        <v>9223.6666666666661</v>
      </c>
      <c r="AP84" s="313">
        <f t="shared" si="21"/>
        <v>3.4877390251219428E-2</v>
      </c>
      <c r="AQ84" s="313">
        <f t="shared" si="35"/>
        <v>0.30745213942067312</v>
      </c>
      <c r="AR84" s="314">
        <f t="shared" si="22"/>
        <v>3.4412955465587043E-2</v>
      </c>
      <c r="AS84" s="314">
        <f>SUM(AR$80:AR84)</f>
        <v>0.32793522267206476</v>
      </c>
      <c r="AT84" s="313">
        <v>2.1193277174662115E-2</v>
      </c>
      <c r="AU84" s="313">
        <v>0.36705556141104745</v>
      </c>
      <c r="AV84" s="314">
        <v>2.2935779816513763E-2</v>
      </c>
      <c r="AW84" s="314">
        <v>0.37920489296636084</v>
      </c>
      <c r="AX84" s="313">
        <v>2.5677109903190436E-2</v>
      </c>
      <c r="AY84" s="313">
        <f t="shared" si="36"/>
        <v>0.31605889492849226</v>
      </c>
      <c r="AZ84" s="314">
        <v>2.3809523809523808E-2</v>
      </c>
      <c r="BA84" s="314">
        <f>SUM(AZ$80:AZ84)</f>
        <v>0.29629629629629628</v>
      </c>
      <c r="BB84" s="315">
        <f>Vergleich!C6</f>
        <v>17674</v>
      </c>
      <c r="BC84" s="313">
        <v>3.3956211404282621E-2</v>
      </c>
      <c r="BD84" s="313">
        <f t="shared" si="37"/>
        <v>0.30284706071056222</v>
      </c>
      <c r="BE84" s="314">
        <v>3.746397694524492E-2</v>
      </c>
      <c r="BF84" s="314">
        <f>SUM(BE$80:BE84)</f>
        <v>0.2737752161383285</v>
      </c>
      <c r="BG84" s="315"/>
      <c r="BH84" s="313"/>
    </row>
    <row r="85" spans="1:60" s="112" customFormat="1" x14ac:dyDescent="0.3">
      <c r="A85" s="193"/>
      <c r="B85" s="193"/>
      <c r="C85" s="126"/>
      <c r="G85" s="109">
        <v>4</v>
      </c>
      <c r="H85" s="428">
        <f t="shared" si="38"/>
        <v>44248.666666666664</v>
      </c>
      <c r="I85" s="154">
        <f t="shared" si="27"/>
        <v>30324</v>
      </c>
      <c r="J85" s="155">
        <f t="shared" si="28"/>
        <v>29701.246262459652</v>
      </c>
      <c r="K85" s="155">
        <f t="shared" si="29"/>
        <v>30432.234365407556</v>
      </c>
      <c r="L85" s="427">
        <f t="shared" si="39"/>
        <v>18881</v>
      </c>
      <c r="M85" s="152">
        <f t="shared" si="30"/>
        <v>0.33692958967122588</v>
      </c>
      <c r="N85" s="153">
        <f t="shared" si="31"/>
        <v>2.9477450250552761E-2</v>
      </c>
      <c r="O85" s="408"/>
      <c r="P85" s="324"/>
      <c r="Q85" s="253" t="s">
        <v>229</v>
      </c>
      <c r="R85" s="321">
        <v>4</v>
      </c>
      <c r="S85" s="322">
        <f t="shared" si="40"/>
        <v>1</v>
      </c>
      <c r="T85" s="303">
        <f t="shared" si="41"/>
        <v>44248</v>
      </c>
      <c r="U85" s="304">
        <v>0.66666666666666663</v>
      </c>
      <c r="V85" s="305">
        <f t="shared" si="20"/>
        <v>44248.666666666664</v>
      </c>
      <c r="W85" s="306">
        <f t="shared" si="23"/>
        <v>4</v>
      </c>
      <c r="X85" s="306">
        <f t="shared" si="42"/>
        <v>1</v>
      </c>
      <c r="Y85" s="318">
        <v>30324</v>
      </c>
      <c r="Z85" s="319">
        <v>178</v>
      </c>
      <c r="AA85" s="320">
        <f t="shared" si="43"/>
        <v>16</v>
      </c>
      <c r="AB85" s="308">
        <f t="shared" si="44"/>
        <v>2653</v>
      </c>
      <c r="AC85" s="310">
        <f t="shared" si="24"/>
        <v>170.35955056179776</v>
      </c>
      <c r="AD85" s="312">
        <f t="shared" si="45"/>
        <v>165.8125</v>
      </c>
      <c r="AE85" s="312">
        <f>SUM(AB82:AB85)/SUM(AA80:AA85)</f>
        <v>170.35955056179776</v>
      </c>
      <c r="AF85" s="308">
        <v>29701.246262459652</v>
      </c>
      <c r="AG85" s="308">
        <f t="shared" ref="AG85:AG101" si="47">Y85-AF85</f>
        <v>622.75373754034808</v>
      </c>
      <c r="AH85" s="405">
        <v>171</v>
      </c>
      <c r="AI85" s="405">
        <f t="shared" si="32"/>
        <v>7</v>
      </c>
      <c r="AJ85" s="308">
        <v>30432.234365407556</v>
      </c>
      <c r="AK85" s="308">
        <f t="shared" si="25"/>
        <v>-108.23436540755574</v>
      </c>
      <c r="AL85" s="405">
        <v>180</v>
      </c>
      <c r="AM85" s="405">
        <f t="shared" si="33"/>
        <v>-2</v>
      </c>
      <c r="AN85" s="308">
        <f t="shared" si="34"/>
        <v>2653</v>
      </c>
      <c r="AO85" s="308">
        <f t="shared" si="26"/>
        <v>7581</v>
      </c>
      <c r="AP85" s="313">
        <f t="shared" si="21"/>
        <v>2.9477450250552772E-2</v>
      </c>
      <c r="AQ85" s="313">
        <f t="shared" si="35"/>
        <v>0.33692958967122588</v>
      </c>
      <c r="AR85" s="314">
        <f t="shared" si="22"/>
        <v>3.2388663967611336E-2</v>
      </c>
      <c r="AS85" s="314">
        <f>SUM(AR$80:AR85)</f>
        <v>0.36032388663967607</v>
      </c>
      <c r="AT85" s="313">
        <v>2.176080946319553E-2</v>
      </c>
      <c r="AU85" s="313">
        <v>0.38881637087424298</v>
      </c>
      <c r="AV85" s="314">
        <v>2.4464831804281346E-2</v>
      </c>
      <c r="AW85" s="314">
        <v>0.40366972477064217</v>
      </c>
      <c r="AX85" s="313">
        <v>3.5545704551984567E-2</v>
      </c>
      <c r="AY85" s="313">
        <f t="shared" si="36"/>
        <v>0.35160459948047684</v>
      </c>
      <c r="AZ85" s="314">
        <v>3.0423280423280422E-2</v>
      </c>
      <c r="BA85" s="314">
        <f>SUM(AZ$80:AZ85)</f>
        <v>0.32671957671957669</v>
      </c>
      <c r="BB85" s="315">
        <f>Vergleich!C7</f>
        <v>18881</v>
      </c>
      <c r="BC85" s="313">
        <v>2.7524260165209702E-2</v>
      </c>
      <c r="BD85" s="313">
        <f t="shared" si="37"/>
        <v>0.33037132087577192</v>
      </c>
      <c r="BE85" s="314">
        <v>2.8818443804034588E-2</v>
      </c>
      <c r="BF85" s="314">
        <f>SUM(BE$80:BE85)</f>
        <v>0.30259365994236309</v>
      </c>
      <c r="BG85" s="315"/>
      <c r="BH85" s="325"/>
    </row>
    <row r="86" spans="1:60" s="112" customFormat="1" x14ac:dyDescent="0.3">
      <c r="A86" s="193"/>
      <c r="B86" s="193"/>
      <c r="C86" s="126"/>
      <c r="G86" s="109">
        <v>5</v>
      </c>
      <c r="H86" s="428">
        <f t="shared" si="38"/>
        <v>44249.666666666664</v>
      </c>
      <c r="I86" s="154">
        <f t="shared" si="27"/>
        <v>32621</v>
      </c>
      <c r="J86" s="155">
        <f t="shared" si="28"/>
        <v>30756.893939673908</v>
      </c>
      <c r="K86" s="155">
        <f t="shared" si="29"/>
        <v>32506.378361334326</v>
      </c>
      <c r="L86" s="427">
        <f t="shared" si="39"/>
        <v>21886</v>
      </c>
      <c r="M86" s="152">
        <f t="shared" si="30"/>
        <v>0.36245152831635202</v>
      </c>
      <c r="N86" s="153">
        <f t="shared" si="31"/>
        <v>2.5521938645126141E-2</v>
      </c>
      <c r="O86" s="408"/>
      <c r="P86" s="324"/>
      <c r="Q86" s="253" t="s">
        <v>238</v>
      </c>
      <c r="R86" s="321">
        <v>5</v>
      </c>
      <c r="S86" s="322">
        <f t="shared" si="40"/>
        <v>2</v>
      </c>
      <c r="T86" s="303">
        <f t="shared" si="41"/>
        <v>44249</v>
      </c>
      <c r="U86" s="304">
        <v>0.66666666666666663</v>
      </c>
      <c r="V86" s="305">
        <f t="shared" si="20"/>
        <v>44249.666666666664</v>
      </c>
      <c r="W86" s="306">
        <f t="shared" si="23"/>
        <v>5</v>
      </c>
      <c r="X86" s="306">
        <f t="shared" si="42"/>
        <v>1</v>
      </c>
      <c r="Y86" s="318">
        <v>32621</v>
      </c>
      <c r="Z86" s="319">
        <v>191</v>
      </c>
      <c r="AA86" s="320">
        <f t="shared" si="43"/>
        <v>13</v>
      </c>
      <c r="AB86" s="308">
        <f t="shared" si="44"/>
        <v>2297</v>
      </c>
      <c r="AC86" s="310">
        <f t="shared" si="24"/>
        <v>170.79057591623035</v>
      </c>
      <c r="AD86" s="312">
        <f t="shared" si="45"/>
        <v>176.69230769230768</v>
      </c>
      <c r="AE86" s="312">
        <f t="shared" ref="AE86:AE102" si="48">SUM(AB82:AB86)/SUM(AA82:AA86)</f>
        <v>170.79057591623035</v>
      </c>
      <c r="AF86" s="308">
        <v>30756.893939673908</v>
      </c>
      <c r="AG86" s="308">
        <f t="shared" si="47"/>
        <v>1864.1060603260921</v>
      </c>
      <c r="AH86" s="405">
        <v>177</v>
      </c>
      <c r="AI86" s="405">
        <f t="shared" si="32"/>
        <v>14</v>
      </c>
      <c r="AJ86" s="308">
        <v>32506.378361334326</v>
      </c>
      <c r="AK86" s="308">
        <f t="shared" si="25"/>
        <v>114.62163866567425</v>
      </c>
      <c r="AL86" s="405">
        <v>191</v>
      </c>
      <c r="AM86" s="405">
        <f t="shared" si="33"/>
        <v>0</v>
      </c>
      <c r="AN86" s="308">
        <f t="shared" si="34"/>
        <v>2297</v>
      </c>
      <c r="AO86" s="308">
        <f t="shared" si="26"/>
        <v>6524.2</v>
      </c>
      <c r="AP86" s="313">
        <f t="shared" si="21"/>
        <v>2.5521938645126165E-2</v>
      </c>
      <c r="AQ86" s="313">
        <f t="shared" si="35"/>
        <v>0.36245152831635202</v>
      </c>
      <c r="AR86" s="314">
        <f t="shared" si="22"/>
        <v>2.6315789473684209E-2</v>
      </c>
      <c r="AS86" s="314">
        <f>SUM(AR$80:AR86)</f>
        <v>0.38663967611336025</v>
      </c>
      <c r="AT86" s="313">
        <v>2.2749937166068056E-2</v>
      </c>
      <c r="AU86" s="313">
        <v>0.41156630804031102</v>
      </c>
      <c r="AV86" s="314">
        <v>2.4464831804281346E-2</v>
      </c>
      <c r="AW86" s="314">
        <v>0.4281345565749235</v>
      </c>
      <c r="AX86" s="313">
        <v>1.8482359080807548E-2</v>
      </c>
      <c r="AY86" s="313">
        <f t="shared" si="36"/>
        <v>0.37008695856128437</v>
      </c>
      <c r="AZ86" s="314">
        <v>2.2486772486772486E-2</v>
      </c>
      <c r="BA86" s="314">
        <f>SUM(AZ$80:AZ86)</f>
        <v>0.34920634920634919</v>
      </c>
      <c r="BB86" s="315">
        <f>Vergleich!C8</f>
        <v>21886</v>
      </c>
      <c r="BC86" s="313">
        <v>2.0675274681209388E-2</v>
      </c>
      <c r="BD86" s="313">
        <f t="shared" si="37"/>
        <v>0.35104659555698131</v>
      </c>
      <c r="BE86" s="314">
        <v>1.7291066282420775E-2</v>
      </c>
      <c r="BF86" s="314">
        <f>SUM(BE$80:BE86)</f>
        <v>0.31988472622478387</v>
      </c>
      <c r="BG86" s="315"/>
      <c r="BH86" s="325"/>
    </row>
    <row r="87" spans="1:60" s="112" customFormat="1" x14ac:dyDescent="0.3">
      <c r="A87" s="193"/>
      <c r="B87" s="193"/>
      <c r="C87" s="126"/>
      <c r="G87" s="109">
        <v>6</v>
      </c>
      <c r="H87" s="428">
        <f t="shared" si="38"/>
        <v>44250.666666666664</v>
      </c>
      <c r="I87" s="154">
        <f t="shared" si="27"/>
        <v>37481</v>
      </c>
      <c r="J87" s="155">
        <f t="shared" si="28"/>
        <v>31437.773294932977</v>
      </c>
      <c r="K87" s="155">
        <f t="shared" si="29"/>
        <v>33608.619352187576</v>
      </c>
      <c r="L87" s="427">
        <f t="shared" si="39"/>
        <v>22571</v>
      </c>
      <c r="M87" s="152">
        <f t="shared" si="30"/>
        <v>0.41645092832301861</v>
      </c>
      <c r="N87" s="153">
        <f t="shared" si="31"/>
        <v>5.3999400006666587E-2</v>
      </c>
      <c r="O87" s="408"/>
      <c r="P87" s="324"/>
      <c r="Q87" s="253" t="s">
        <v>240</v>
      </c>
      <c r="R87" s="321">
        <v>6</v>
      </c>
      <c r="S87" s="322">
        <f t="shared" si="40"/>
        <v>3</v>
      </c>
      <c r="T87" s="303">
        <f t="shared" si="41"/>
        <v>44250</v>
      </c>
      <c r="U87" s="304">
        <v>0.66666666666666663</v>
      </c>
      <c r="V87" s="305">
        <f t="shared" si="20"/>
        <v>44250.666666666664</v>
      </c>
      <c r="W87" s="306">
        <f t="shared" si="23"/>
        <v>6</v>
      </c>
      <c r="X87" s="306">
        <f t="shared" si="42"/>
        <v>1</v>
      </c>
      <c r="Y87" s="318">
        <v>37481</v>
      </c>
      <c r="Z87" s="319">
        <v>220</v>
      </c>
      <c r="AA87" s="320">
        <f t="shared" si="43"/>
        <v>29</v>
      </c>
      <c r="AB87" s="308">
        <f t="shared" si="44"/>
        <v>4860</v>
      </c>
      <c r="AC87" s="310">
        <f t="shared" si="24"/>
        <v>170.36818181818182</v>
      </c>
      <c r="AD87" s="312">
        <f t="shared" si="45"/>
        <v>167.58620689655172</v>
      </c>
      <c r="AE87" s="312">
        <f t="shared" si="48"/>
        <v>170.18095238095239</v>
      </c>
      <c r="AF87" s="308">
        <v>31437.773294932977</v>
      </c>
      <c r="AG87" s="308">
        <f t="shared" si="47"/>
        <v>6043.2267050670234</v>
      </c>
      <c r="AH87" s="405">
        <v>181</v>
      </c>
      <c r="AI87" s="405">
        <f t="shared" si="32"/>
        <v>39</v>
      </c>
      <c r="AJ87" s="308">
        <v>33608.619352187576</v>
      </c>
      <c r="AK87" s="308">
        <f t="shared" si="25"/>
        <v>3872.3806478124243</v>
      </c>
      <c r="AL87" s="405">
        <v>198</v>
      </c>
      <c r="AM87" s="405">
        <f t="shared" si="33"/>
        <v>22</v>
      </c>
      <c r="AN87" s="308">
        <f t="shared" si="34"/>
        <v>4860</v>
      </c>
      <c r="AO87" s="308">
        <f t="shared" si="26"/>
        <v>6246.833333333333</v>
      </c>
      <c r="AP87" s="313">
        <f t="shared" si="21"/>
        <v>5.3999400006666594E-2</v>
      </c>
      <c r="AQ87" s="313">
        <f t="shared" si="35"/>
        <v>0.41645092832301861</v>
      </c>
      <c r="AR87" s="314">
        <f t="shared" si="22"/>
        <v>5.8704453441295545E-2</v>
      </c>
      <c r="AS87" s="314">
        <f>SUM(AR$80:AR87)</f>
        <v>0.4453441295546558</v>
      </c>
      <c r="AT87" s="313">
        <v>2.4857914237763599E-2</v>
      </c>
      <c r="AU87" s="313">
        <v>0.43642422227807465</v>
      </c>
      <c r="AV87" s="314">
        <v>2.1406727828746176E-2</v>
      </c>
      <c r="AW87" s="314">
        <v>0.44954128440366969</v>
      </c>
      <c r="AX87" s="313">
        <v>1.1920887059416798E-2</v>
      </c>
      <c r="AY87" s="313">
        <f t="shared" si="36"/>
        <v>0.38200784562070117</v>
      </c>
      <c r="AZ87" s="314">
        <v>1.3227513227513227E-2</v>
      </c>
      <c r="BA87" s="314">
        <f>SUM(AZ$80:AZ87)</f>
        <v>0.36243386243386244</v>
      </c>
      <c r="BB87" s="315">
        <f>Vergleich!C9</f>
        <v>22571</v>
      </c>
      <c r="BC87" s="313">
        <v>1.0987248375972425E-2</v>
      </c>
      <c r="BD87" s="313">
        <f t="shared" si="37"/>
        <v>0.36203384393295374</v>
      </c>
      <c r="BE87" s="314">
        <v>1.1527377521613813E-2</v>
      </c>
      <c r="BF87" s="314">
        <f>SUM(BE$80:BE87)</f>
        <v>0.33141210374639768</v>
      </c>
      <c r="BG87" s="315"/>
      <c r="BH87" s="325"/>
    </row>
    <row r="88" spans="1:60" s="112" customFormat="1" x14ac:dyDescent="0.3">
      <c r="A88" s="193"/>
      <c r="B88" s="193"/>
      <c r="C88" s="126"/>
      <c r="G88" s="109">
        <v>7</v>
      </c>
      <c r="H88" s="428">
        <f t="shared" si="38"/>
        <v>44251.666666666664</v>
      </c>
      <c r="I88" s="154">
        <f t="shared" si="27"/>
        <v>40223</v>
      </c>
      <c r="J88" s="155">
        <f t="shared" si="28"/>
        <v>32936.511669150554</v>
      </c>
      <c r="K88" s="155">
        <f t="shared" si="29"/>
        <v>36197.678847491043</v>
      </c>
      <c r="L88" s="427">
        <f t="shared" si="39"/>
        <v>24180</v>
      </c>
      <c r="M88" s="152">
        <f t="shared" si="30"/>
        <v>0.44691725647492808</v>
      </c>
      <c r="N88" s="153">
        <f t="shared" si="31"/>
        <v>3.0466328151909472E-2</v>
      </c>
      <c r="O88" s="408"/>
      <c r="P88" s="324"/>
      <c r="Q88" s="253" t="s">
        <v>243</v>
      </c>
      <c r="R88" s="321">
        <v>7</v>
      </c>
      <c r="S88" s="322">
        <f t="shared" si="40"/>
        <v>4</v>
      </c>
      <c r="T88" s="303">
        <f t="shared" si="41"/>
        <v>44251</v>
      </c>
      <c r="U88" s="304">
        <v>0.66666666666666663</v>
      </c>
      <c r="V88" s="305">
        <f t="shared" si="20"/>
        <v>44251.666666666664</v>
      </c>
      <c r="W88" s="306">
        <f t="shared" si="23"/>
        <v>7</v>
      </c>
      <c r="X88" s="306">
        <f t="shared" si="42"/>
        <v>1</v>
      </c>
      <c r="Y88" s="318">
        <v>40223</v>
      </c>
      <c r="Z88" s="319">
        <v>236</v>
      </c>
      <c r="AA88" s="320">
        <f t="shared" si="43"/>
        <v>16</v>
      </c>
      <c r="AB88" s="308">
        <f t="shared" si="44"/>
        <v>2742</v>
      </c>
      <c r="AC88" s="310">
        <f t="shared" si="24"/>
        <v>170.43644067796609</v>
      </c>
      <c r="AD88" s="312">
        <f t="shared" si="45"/>
        <v>171.375</v>
      </c>
      <c r="AE88" s="312">
        <f t="shared" si="48"/>
        <v>172.42857142857142</v>
      </c>
      <c r="AF88" s="308">
        <v>32936.511669150554</v>
      </c>
      <c r="AG88" s="308">
        <f t="shared" si="47"/>
        <v>7286.4883308494464</v>
      </c>
      <c r="AH88" s="405">
        <v>189</v>
      </c>
      <c r="AI88" s="405">
        <f t="shared" si="32"/>
        <v>47</v>
      </c>
      <c r="AJ88" s="308">
        <v>36197.678847491043</v>
      </c>
      <c r="AK88" s="308">
        <f t="shared" si="25"/>
        <v>4025.3211525089573</v>
      </c>
      <c r="AL88" s="405">
        <v>215</v>
      </c>
      <c r="AM88" s="405">
        <f t="shared" si="33"/>
        <v>21</v>
      </c>
      <c r="AN88" s="308">
        <f t="shared" si="34"/>
        <v>2742</v>
      </c>
      <c r="AO88" s="308">
        <f t="shared" si="26"/>
        <v>5746.1428571428569</v>
      </c>
      <c r="AP88" s="313">
        <f t="shared" si="21"/>
        <v>3.0466328151909423E-2</v>
      </c>
      <c r="AQ88" s="313">
        <f t="shared" si="35"/>
        <v>0.44691725647492803</v>
      </c>
      <c r="AR88" s="314">
        <f t="shared" si="22"/>
        <v>3.2388663967611336E-2</v>
      </c>
      <c r="AS88" s="314">
        <f>SUM(AR$80:AR88)</f>
        <v>0.47773279352226716</v>
      </c>
      <c r="AT88" s="313">
        <v>1.7447564070341575E-2</v>
      </c>
      <c r="AU88" s="313">
        <v>0.45387178634841624</v>
      </c>
      <c r="AV88" s="314">
        <v>2.1406727828746176E-2</v>
      </c>
      <c r="AW88" s="314">
        <v>0.47094801223241589</v>
      </c>
      <c r="AX88" s="313">
        <v>2.6240024392961223E-2</v>
      </c>
      <c r="AY88" s="313">
        <f t="shared" si="36"/>
        <v>0.40824787001366242</v>
      </c>
      <c r="AZ88" s="314">
        <v>2.7777777777777776E-2</v>
      </c>
      <c r="BA88" s="314">
        <f>SUM(AZ$80:AZ88)</f>
        <v>0.39021164021164023</v>
      </c>
      <c r="BB88" s="315">
        <f>Vergleich!C10</f>
        <v>24180</v>
      </c>
      <c r="BC88" s="313">
        <v>2.5808003849546846E-2</v>
      </c>
      <c r="BD88" s="313">
        <f t="shared" si="37"/>
        <v>0.38784184778250058</v>
      </c>
      <c r="BE88" s="314">
        <v>2.5936599423631135E-2</v>
      </c>
      <c r="BF88" s="314">
        <f>SUM(BE$80:BE88)</f>
        <v>0.35734870317002881</v>
      </c>
      <c r="BG88" s="315"/>
      <c r="BH88" s="325"/>
    </row>
    <row r="89" spans="1:60" s="112" customFormat="1" x14ac:dyDescent="0.3">
      <c r="A89" s="193"/>
      <c r="B89" s="193"/>
      <c r="C89" s="126"/>
      <c r="G89" s="109">
        <v>8</v>
      </c>
      <c r="H89" s="428">
        <f t="shared" si="38"/>
        <v>44252.666666666664</v>
      </c>
      <c r="I89" s="154">
        <f t="shared" si="27"/>
        <v>43766</v>
      </c>
      <c r="J89" s="155">
        <f t="shared" si="28"/>
        <v>33994.838655190229</v>
      </c>
      <c r="K89" s="155">
        <f t="shared" si="29"/>
        <v>40218.847075435959</v>
      </c>
      <c r="L89" s="427">
        <f t="shared" si="39"/>
        <v>26679</v>
      </c>
      <c r="M89" s="152">
        <f t="shared" si="30"/>
        <v>0.48628348573904734</v>
      </c>
      <c r="N89" s="153">
        <f t="shared" si="31"/>
        <v>3.9366229264119257E-2</v>
      </c>
      <c r="O89" s="408"/>
      <c r="P89" s="324"/>
      <c r="Q89" s="253" t="s">
        <v>245</v>
      </c>
      <c r="R89" s="321">
        <v>8</v>
      </c>
      <c r="S89" s="322">
        <f t="shared" si="40"/>
        <v>5</v>
      </c>
      <c r="T89" s="303">
        <f t="shared" si="41"/>
        <v>44252</v>
      </c>
      <c r="U89" s="304">
        <v>0.66666666666666663</v>
      </c>
      <c r="V89" s="305">
        <f t="shared" si="20"/>
        <v>44252.666666666664</v>
      </c>
      <c r="W89" s="306">
        <f t="shared" si="23"/>
        <v>8</v>
      </c>
      <c r="X89" s="306">
        <f t="shared" si="42"/>
        <v>1</v>
      </c>
      <c r="Y89" s="318">
        <v>43766</v>
      </c>
      <c r="Z89" s="319">
        <v>253</v>
      </c>
      <c r="AA89" s="320">
        <f t="shared" si="43"/>
        <v>17</v>
      </c>
      <c r="AB89" s="308">
        <f t="shared" si="44"/>
        <v>3543</v>
      </c>
      <c r="AC89" s="310">
        <f t="shared" si="24"/>
        <v>172.98814229249012</v>
      </c>
      <c r="AD89" s="312">
        <f t="shared" si="45"/>
        <v>208.41176470588235</v>
      </c>
      <c r="AE89" s="312">
        <f t="shared" si="48"/>
        <v>176.86813186813185</v>
      </c>
      <c r="AF89" s="308">
        <v>33994.838655190229</v>
      </c>
      <c r="AG89" s="308">
        <f t="shared" si="47"/>
        <v>9771.1613448097705</v>
      </c>
      <c r="AH89" s="405">
        <v>194</v>
      </c>
      <c r="AI89" s="405">
        <f t="shared" si="32"/>
        <v>59</v>
      </c>
      <c r="AJ89" s="308">
        <v>40218.847075435959</v>
      </c>
      <c r="AK89" s="308">
        <f t="shared" si="25"/>
        <v>3547.1529245640413</v>
      </c>
      <c r="AL89" s="405">
        <v>237</v>
      </c>
      <c r="AM89" s="405">
        <f t="shared" si="33"/>
        <v>16</v>
      </c>
      <c r="AN89" s="308">
        <f t="shared" si="34"/>
        <v>3543</v>
      </c>
      <c r="AO89" s="308">
        <f t="shared" si="26"/>
        <v>5470.75</v>
      </c>
      <c r="AP89" s="313">
        <f t="shared" si="21"/>
        <v>3.9366229264119285E-2</v>
      </c>
      <c r="AQ89" s="313">
        <f t="shared" si="35"/>
        <v>0.48628348573904734</v>
      </c>
      <c r="AR89" s="314">
        <f t="shared" si="22"/>
        <v>3.4412955465587043E-2</v>
      </c>
      <c r="AS89" s="314">
        <f>SUM(AR$80:AR89)</f>
        <v>0.51214574898785425</v>
      </c>
      <c r="AT89" s="313">
        <v>2.2814797999043304E-2</v>
      </c>
      <c r="AU89" s="313">
        <v>0.47668658434745953</v>
      </c>
      <c r="AV89" s="314">
        <v>2.5993883792048929E-2</v>
      </c>
      <c r="AW89" s="314">
        <v>0.49694189602446481</v>
      </c>
      <c r="AX89" s="313">
        <v>1.852926862162178E-2</v>
      </c>
      <c r="AY89" s="313">
        <f t="shared" si="36"/>
        <v>0.42677713863528421</v>
      </c>
      <c r="AZ89" s="314">
        <v>1.7195767195767195E-2</v>
      </c>
      <c r="BA89" s="314">
        <f>SUM(AZ$80:AZ89)</f>
        <v>0.40740740740740744</v>
      </c>
      <c r="BB89" s="315">
        <f>Vergleich!C11</f>
        <v>26679</v>
      </c>
      <c r="BC89" s="313">
        <v>4.0083406848985481E-2</v>
      </c>
      <c r="BD89" s="313">
        <f t="shared" si="37"/>
        <v>0.42792525463148606</v>
      </c>
      <c r="BE89" s="314">
        <v>3.4582132564841495E-2</v>
      </c>
      <c r="BF89" s="314">
        <f>SUM(BE$80:BE89)</f>
        <v>0.39193083573487031</v>
      </c>
      <c r="BG89" s="315"/>
      <c r="BH89" s="325"/>
    </row>
    <row r="90" spans="1:60" s="112" customFormat="1" x14ac:dyDescent="0.3">
      <c r="A90" s="193"/>
      <c r="B90" s="193"/>
      <c r="C90" s="126"/>
      <c r="G90" s="109">
        <v>9</v>
      </c>
      <c r="H90" s="428">
        <f t="shared" si="38"/>
        <v>44253.666666666664</v>
      </c>
      <c r="I90" s="154">
        <f t="shared" si="27"/>
        <v>45971</v>
      </c>
      <c r="J90" s="155">
        <f t="shared" si="28"/>
        <v>35272.199137707736</v>
      </c>
      <c r="K90" s="155">
        <f t="shared" si="29"/>
        <v>42132.079977807516</v>
      </c>
      <c r="L90" s="427">
        <f t="shared" si="39"/>
        <v>27868</v>
      </c>
      <c r="M90" s="152">
        <f t="shared" si="30"/>
        <v>0.51078321351984979</v>
      </c>
      <c r="N90" s="153">
        <f t="shared" si="31"/>
        <v>2.4499727780802449E-2</v>
      </c>
      <c r="O90" s="408"/>
      <c r="P90" s="324"/>
      <c r="Q90" s="253" t="s">
        <v>248</v>
      </c>
      <c r="R90" s="321">
        <v>9</v>
      </c>
      <c r="S90" s="322">
        <f t="shared" si="40"/>
        <v>6</v>
      </c>
      <c r="T90" s="303">
        <f t="shared" si="41"/>
        <v>44253</v>
      </c>
      <c r="U90" s="304">
        <v>0.66666666666666663</v>
      </c>
      <c r="V90" s="305">
        <f t="shared" si="20"/>
        <v>44253.666666666664</v>
      </c>
      <c r="W90" s="306">
        <f t="shared" si="23"/>
        <v>9</v>
      </c>
      <c r="X90" s="306">
        <f t="shared" si="42"/>
        <v>1</v>
      </c>
      <c r="Y90" s="318">
        <v>45971</v>
      </c>
      <c r="Z90" s="319">
        <v>267</v>
      </c>
      <c r="AA90" s="320">
        <f t="shared" si="43"/>
        <v>14</v>
      </c>
      <c r="AB90" s="308">
        <f t="shared" si="44"/>
        <v>2205</v>
      </c>
      <c r="AC90" s="310">
        <f t="shared" si="24"/>
        <v>172.17602996254681</v>
      </c>
      <c r="AD90" s="312">
        <f t="shared" si="45"/>
        <v>157.5</v>
      </c>
      <c r="AE90" s="312">
        <f t="shared" si="48"/>
        <v>175.80898876404495</v>
      </c>
      <c r="AF90" s="308">
        <v>35272.199137707736</v>
      </c>
      <c r="AG90" s="308">
        <f t="shared" si="47"/>
        <v>10698.800862292264</v>
      </c>
      <c r="AH90" s="405">
        <v>202</v>
      </c>
      <c r="AI90" s="405">
        <f t="shared" si="32"/>
        <v>65</v>
      </c>
      <c r="AJ90" s="308">
        <v>42132.079977807516</v>
      </c>
      <c r="AK90" s="308">
        <f t="shared" si="25"/>
        <v>3838.9200221924839</v>
      </c>
      <c r="AL90" s="405">
        <v>248</v>
      </c>
      <c r="AM90" s="405">
        <f t="shared" si="33"/>
        <v>19</v>
      </c>
      <c r="AN90" s="308">
        <f t="shared" si="34"/>
        <v>2205</v>
      </c>
      <c r="AO90" s="308">
        <f t="shared" si="26"/>
        <v>5107.8888888888887</v>
      </c>
      <c r="AP90" s="313">
        <f t="shared" si="21"/>
        <v>2.4499727780802436E-2</v>
      </c>
      <c r="AQ90" s="313">
        <f t="shared" si="35"/>
        <v>0.51078321351984979</v>
      </c>
      <c r="AR90" s="314">
        <f t="shared" si="22"/>
        <v>2.8340080971659919E-2</v>
      </c>
      <c r="AS90" s="314">
        <f>SUM(AR$80:AR90)</f>
        <v>0.54048582995951422</v>
      </c>
      <c r="AT90" s="313">
        <v>3.6524756569186238E-2</v>
      </c>
      <c r="AU90" s="313">
        <v>0.51321134091664578</v>
      </c>
      <c r="AV90" s="314">
        <v>3.82262996941896E-2</v>
      </c>
      <c r="AW90" s="314">
        <v>0.53516819571865437</v>
      </c>
      <c r="AX90" s="313">
        <v>2.2364123583185274E-2</v>
      </c>
      <c r="AY90" s="313">
        <f t="shared" si="36"/>
        <v>0.44914126221846951</v>
      </c>
      <c r="AZ90" s="314">
        <v>2.7777777777777776E-2</v>
      </c>
      <c r="BA90" s="314">
        <f>SUM(AZ$80:AZ90)</f>
        <v>0.43518518518518523</v>
      </c>
      <c r="BB90" s="315">
        <f>Vergleich!C12</f>
        <v>27868</v>
      </c>
      <c r="BC90" s="313">
        <v>1.9071296816103978E-2</v>
      </c>
      <c r="BD90" s="313">
        <f t="shared" si="37"/>
        <v>0.44699655144759004</v>
      </c>
      <c r="BE90" s="314">
        <v>1.7291066282420775E-2</v>
      </c>
      <c r="BF90" s="314">
        <f>SUM(BE$80:BE90)</f>
        <v>0.40922190201729108</v>
      </c>
      <c r="BG90" s="315"/>
      <c r="BH90" s="325"/>
    </row>
    <row r="91" spans="1:60" s="112" customFormat="1" x14ac:dyDescent="0.3">
      <c r="A91" s="193"/>
      <c r="B91" s="193"/>
      <c r="C91" s="126"/>
      <c r="G91" s="109">
        <v>10</v>
      </c>
      <c r="H91" s="428">
        <f t="shared" si="38"/>
        <v>44254.666666666664</v>
      </c>
      <c r="I91" s="154">
        <f t="shared" si="27"/>
        <v>48853</v>
      </c>
      <c r="J91" s="155">
        <f t="shared" si="28"/>
        <v>36856.340480735475</v>
      </c>
      <c r="K91" s="155">
        <f t="shared" si="29"/>
        <v>48116.363547126108</v>
      </c>
      <c r="L91" s="427">
        <f t="shared" si="39"/>
        <v>31587</v>
      </c>
      <c r="M91" s="152">
        <f t="shared" si="30"/>
        <v>0.5428050799435562</v>
      </c>
      <c r="N91" s="153">
        <f t="shared" si="31"/>
        <v>3.2021866423706413E-2</v>
      </c>
      <c r="O91" s="408"/>
      <c r="P91" s="324"/>
      <c r="Q91" s="253" t="s">
        <v>249</v>
      </c>
      <c r="R91" s="321">
        <v>10</v>
      </c>
      <c r="S91" s="322">
        <f t="shared" si="40"/>
        <v>7</v>
      </c>
      <c r="T91" s="303">
        <f t="shared" si="41"/>
        <v>44254</v>
      </c>
      <c r="U91" s="304">
        <v>0.66666666666666663</v>
      </c>
      <c r="V91" s="305">
        <f t="shared" si="20"/>
        <v>44254.666666666664</v>
      </c>
      <c r="W91" s="306">
        <f t="shared" si="23"/>
        <v>10</v>
      </c>
      <c r="X91" s="306">
        <f t="shared" si="42"/>
        <v>1</v>
      </c>
      <c r="Y91" s="318">
        <v>48853</v>
      </c>
      <c r="Z91" s="319">
        <v>282</v>
      </c>
      <c r="AA91" s="320">
        <f t="shared" si="43"/>
        <v>15</v>
      </c>
      <c r="AB91" s="308">
        <f t="shared" si="44"/>
        <v>2882</v>
      </c>
      <c r="AC91" s="310">
        <f t="shared" si="24"/>
        <v>173.23758865248226</v>
      </c>
      <c r="AD91" s="312">
        <f t="shared" si="45"/>
        <v>192.13333333333333</v>
      </c>
      <c r="AE91" s="312">
        <f t="shared" si="48"/>
        <v>178.37362637362637</v>
      </c>
      <c r="AF91" s="308">
        <v>36856.340480735475</v>
      </c>
      <c r="AG91" s="308">
        <f t="shared" si="47"/>
        <v>11996.659519264525</v>
      </c>
      <c r="AH91" s="405">
        <v>210</v>
      </c>
      <c r="AI91" s="405">
        <f t="shared" si="32"/>
        <v>72</v>
      </c>
      <c r="AJ91" s="308">
        <v>48116.363547126108</v>
      </c>
      <c r="AK91" s="308">
        <f t="shared" si="25"/>
        <v>736.63645287389227</v>
      </c>
      <c r="AL91" s="405">
        <v>283</v>
      </c>
      <c r="AM91" s="405">
        <f t="shared" si="33"/>
        <v>-1</v>
      </c>
      <c r="AN91" s="308">
        <f t="shared" si="34"/>
        <v>2882</v>
      </c>
      <c r="AO91" s="308">
        <f t="shared" si="26"/>
        <v>4885.3</v>
      </c>
      <c r="AP91" s="313">
        <f t="shared" si="21"/>
        <v>3.2021866423706406E-2</v>
      </c>
      <c r="AQ91" s="313">
        <f t="shared" si="35"/>
        <v>0.5428050799435562</v>
      </c>
      <c r="AR91" s="314">
        <f t="shared" si="22"/>
        <v>3.0364372469635626E-2</v>
      </c>
      <c r="AS91" s="314">
        <f>SUM(AR$80:AR91)</f>
        <v>0.57085020242914986</v>
      </c>
      <c r="AT91" s="313">
        <v>2.7160473808384884E-2</v>
      </c>
      <c r="AU91" s="313">
        <v>0.54037181472503071</v>
      </c>
      <c r="AV91" s="314">
        <v>2.9051987767584098E-2</v>
      </c>
      <c r="AW91" s="314">
        <v>0.56422018348623848</v>
      </c>
      <c r="AX91" s="313">
        <v>2.7735266006414881E-2</v>
      </c>
      <c r="AY91" s="313">
        <f t="shared" si="36"/>
        <v>0.47687652822488441</v>
      </c>
      <c r="AZ91" s="314">
        <v>2.7777777777777776E-2</v>
      </c>
      <c r="BA91" s="314">
        <f>SUM(AZ$80:AZ91)</f>
        <v>0.46296296296296302</v>
      </c>
      <c r="BB91" s="315">
        <f>Vergleich!C13</f>
        <v>31587</v>
      </c>
      <c r="BC91" s="313">
        <v>5.9651936803272132E-2</v>
      </c>
      <c r="BD91" s="313">
        <f t="shared" si="37"/>
        <v>0.50664848825086217</v>
      </c>
      <c r="BE91" s="314">
        <v>5.4755043227665667E-2</v>
      </c>
      <c r="BF91" s="314">
        <f>SUM(BE$80:BE91)</f>
        <v>0.46397694524495675</v>
      </c>
      <c r="BG91" s="315"/>
      <c r="BH91" s="325"/>
    </row>
    <row r="92" spans="1:60" s="112" customFormat="1" x14ac:dyDescent="0.3">
      <c r="A92" s="193"/>
      <c r="B92" s="193"/>
      <c r="C92" s="126"/>
      <c r="G92" s="109">
        <v>11</v>
      </c>
      <c r="H92" s="428">
        <f t="shared" si="38"/>
        <v>44255.666666666664</v>
      </c>
      <c r="I92" s="154">
        <f t="shared" si="27"/>
        <v>50284</v>
      </c>
      <c r="J92" s="155">
        <f t="shared" si="28"/>
        <v>37437.415582247762</v>
      </c>
      <c r="K92" s="155">
        <f t="shared" si="29"/>
        <v>53130.353222306723</v>
      </c>
      <c r="L92" s="427">
        <f t="shared" si="39"/>
        <v>34703</v>
      </c>
      <c r="M92" s="152">
        <f t="shared" si="30"/>
        <v>0.55870490327885247</v>
      </c>
      <c r="N92" s="153">
        <f t="shared" si="31"/>
        <v>1.589982333529627E-2</v>
      </c>
      <c r="O92" s="408"/>
      <c r="P92" s="324"/>
      <c r="Q92" s="253" t="s">
        <v>253</v>
      </c>
      <c r="R92" s="321">
        <v>11</v>
      </c>
      <c r="S92" s="322">
        <f t="shared" si="40"/>
        <v>1</v>
      </c>
      <c r="T92" s="303">
        <f t="shared" si="41"/>
        <v>44255</v>
      </c>
      <c r="U92" s="304">
        <v>0.66666666666666663</v>
      </c>
      <c r="V92" s="305">
        <f t="shared" si="20"/>
        <v>44255.666666666664</v>
      </c>
      <c r="W92" s="306">
        <f t="shared" si="23"/>
        <v>11</v>
      </c>
      <c r="X92" s="306">
        <f t="shared" si="42"/>
        <v>1</v>
      </c>
      <c r="Y92" s="318">
        <v>50284</v>
      </c>
      <c r="Z92" s="319">
        <v>291</v>
      </c>
      <c r="AA92" s="320">
        <f t="shared" si="43"/>
        <v>9</v>
      </c>
      <c r="AB92" s="308">
        <f t="shared" si="44"/>
        <v>1431</v>
      </c>
      <c r="AC92" s="310">
        <f t="shared" si="24"/>
        <v>172.79725085910653</v>
      </c>
      <c r="AD92" s="312">
        <f t="shared" si="45"/>
        <v>159</v>
      </c>
      <c r="AE92" s="312">
        <f t="shared" si="48"/>
        <v>180.32394366197184</v>
      </c>
      <c r="AF92" s="308">
        <v>37437.415582247762</v>
      </c>
      <c r="AG92" s="308">
        <f t="shared" si="47"/>
        <v>12846.584417752238</v>
      </c>
      <c r="AH92" s="405">
        <v>212</v>
      </c>
      <c r="AI92" s="405">
        <f t="shared" si="32"/>
        <v>79</v>
      </c>
      <c r="AJ92" s="308">
        <v>53130.353222306723</v>
      </c>
      <c r="AK92" s="308">
        <f t="shared" si="25"/>
        <v>-2846.3532223067232</v>
      </c>
      <c r="AL92" s="405">
        <v>314</v>
      </c>
      <c r="AM92" s="405">
        <f t="shared" si="33"/>
        <v>-23</v>
      </c>
      <c r="AN92" s="308">
        <f t="shared" si="34"/>
        <v>1431</v>
      </c>
      <c r="AO92" s="308">
        <f t="shared" si="26"/>
        <v>4571.272727272727</v>
      </c>
      <c r="AP92" s="313">
        <f t="shared" si="21"/>
        <v>1.5899823335296274E-2</v>
      </c>
      <c r="AQ92" s="313">
        <f t="shared" si="35"/>
        <v>0.55870490327885247</v>
      </c>
      <c r="AR92" s="314">
        <f t="shared" si="22"/>
        <v>1.8218623481781375E-2</v>
      </c>
      <c r="AS92" s="314">
        <f>SUM(AR$80:AR92)</f>
        <v>0.58906882591093124</v>
      </c>
      <c r="AT92" s="313">
        <v>2.4468749239912112E-2</v>
      </c>
      <c r="AU92" s="313">
        <v>0.56484056396494287</v>
      </c>
      <c r="AV92" s="314">
        <v>2.5993883792048929E-2</v>
      </c>
      <c r="AW92" s="314">
        <v>0.5902140672782874</v>
      </c>
      <c r="AX92" s="313">
        <v>1.0173506664086642E-2</v>
      </c>
      <c r="AY92" s="313">
        <f t="shared" si="36"/>
        <v>0.48705003488897103</v>
      </c>
      <c r="AZ92" s="314">
        <v>7.9365079365079361E-3</v>
      </c>
      <c r="BA92" s="314">
        <f>SUM(AZ$80:AZ92)</f>
        <v>0.47089947089947093</v>
      </c>
      <c r="BB92" s="315">
        <f>Vergleich!C14</f>
        <v>34703</v>
      </c>
      <c r="BC92" s="313">
        <v>4.9979950276686114E-2</v>
      </c>
      <c r="BD92" s="313">
        <f t="shared" si="37"/>
        <v>0.55662843852754829</v>
      </c>
      <c r="BE92" s="314">
        <v>4.8991354466858816E-2</v>
      </c>
      <c r="BF92" s="314">
        <f>SUM(BE$80:BE92)</f>
        <v>0.51296829971181557</v>
      </c>
      <c r="BG92" s="315"/>
      <c r="BH92" s="313"/>
    </row>
    <row r="93" spans="1:60" s="112" customFormat="1" x14ac:dyDescent="0.3">
      <c r="A93" s="193"/>
      <c r="B93" s="193"/>
      <c r="C93" s="126"/>
      <c r="G93" s="109">
        <v>12</v>
      </c>
      <c r="H93" s="428">
        <f t="shared" si="38"/>
        <v>44256.666666666664</v>
      </c>
      <c r="I93" s="154">
        <f t="shared" si="27"/>
        <v>54218</v>
      </c>
      <c r="J93" s="155">
        <f t="shared" si="28"/>
        <v>38472.968443271391</v>
      </c>
      <c r="K93" s="155">
        <f t="shared" si="29"/>
        <v>56803.953488172381</v>
      </c>
      <c r="L93" s="427">
        <f t="shared" si="39"/>
        <v>36986</v>
      </c>
      <c r="M93" s="152">
        <f t="shared" si="30"/>
        <v>0.60241552871634763</v>
      </c>
      <c r="N93" s="153">
        <f t="shared" si="31"/>
        <v>4.3710625437495154E-2</v>
      </c>
      <c r="O93" s="408"/>
      <c r="P93" s="324"/>
      <c r="Q93" s="253" t="s">
        <v>255</v>
      </c>
      <c r="R93" s="321">
        <v>12</v>
      </c>
      <c r="S93" s="322">
        <f t="shared" si="40"/>
        <v>2</v>
      </c>
      <c r="T93" s="303">
        <f t="shared" si="41"/>
        <v>44256</v>
      </c>
      <c r="U93" s="304">
        <v>0.66666666666666663</v>
      </c>
      <c r="V93" s="305">
        <f t="shared" si="20"/>
        <v>44256.666666666664</v>
      </c>
      <c r="W93" s="306">
        <f t="shared" si="23"/>
        <v>12</v>
      </c>
      <c r="X93" s="306">
        <f t="shared" si="42"/>
        <v>1</v>
      </c>
      <c r="Y93" s="318">
        <v>54218</v>
      </c>
      <c r="Z93" s="319">
        <v>311</v>
      </c>
      <c r="AA93" s="320">
        <f t="shared" si="43"/>
        <v>20</v>
      </c>
      <c r="AB93" s="308">
        <f t="shared" si="44"/>
        <v>3934</v>
      </c>
      <c r="AC93" s="310">
        <f t="shared" si="24"/>
        <v>174.33440514469453</v>
      </c>
      <c r="AD93" s="312">
        <f t="shared" si="45"/>
        <v>196.7</v>
      </c>
      <c r="AE93" s="312">
        <f t="shared" si="48"/>
        <v>186.6</v>
      </c>
      <c r="AF93" s="308">
        <v>38472.968443271391</v>
      </c>
      <c r="AG93" s="308">
        <f t="shared" si="47"/>
        <v>15745.031556728609</v>
      </c>
      <c r="AH93" s="405">
        <v>218</v>
      </c>
      <c r="AI93" s="405">
        <f t="shared" si="32"/>
        <v>93</v>
      </c>
      <c r="AJ93" s="308">
        <v>56803.953488172381</v>
      </c>
      <c r="AK93" s="308">
        <f t="shared" si="25"/>
        <v>-2585.9534881723812</v>
      </c>
      <c r="AL93" s="405">
        <v>342</v>
      </c>
      <c r="AM93" s="405">
        <f t="shared" si="33"/>
        <v>-31</v>
      </c>
      <c r="AN93" s="308">
        <f t="shared" si="34"/>
        <v>3934</v>
      </c>
      <c r="AO93" s="308">
        <f t="shared" si="26"/>
        <v>4518.166666666667</v>
      </c>
      <c r="AP93" s="313">
        <f t="shared" si="21"/>
        <v>4.371062543749514E-2</v>
      </c>
      <c r="AQ93" s="323">
        <f t="shared" si="35"/>
        <v>0.60241552871634763</v>
      </c>
      <c r="AR93" s="314">
        <f t="shared" si="22"/>
        <v>4.048582995951417E-2</v>
      </c>
      <c r="AS93" s="314">
        <f>SUM(AR$80:AR93)</f>
        <v>0.62955465587044546</v>
      </c>
      <c r="AT93" s="313">
        <v>1.3118103469243804E-2</v>
      </c>
      <c r="AU93" s="323">
        <v>0.57795866743418667</v>
      </c>
      <c r="AV93" s="314">
        <v>1.3761467889908258E-2</v>
      </c>
      <c r="AW93" s="314">
        <v>0.60397553516819569</v>
      </c>
      <c r="AX93" s="313">
        <v>1.8130537524700806E-2</v>
      </c>
      <c r="AY93" s="323">
        <f t="shared" si="36"/>
        <v>0.50518057241367187</v>
      </c>
      <c r="AZ93" s="314">
        <v>1.984126984126984E-2</v>
      </c>
      <c r="BA93" s="314">
        <f>SUM(AZ$80:AZ93)</f>
        <v>0.49074074074074076</v>
      </c>
      <c r="BB93" s="315">
        <f>Vergleich!C15</f>
        <v>36986</v>
      </c>
      <c r="BC93" s="313">
        <v>3.6618814660357768E-2</v>
      </c>
      <c r="BD93" s="323">
        <f t="shared" si="37"/>
        <v>0.59324725318790605</v>
      </c>
      <c r="BE93" s="314">
        <v>4.3227665706051854E-2</v>
      </c>
      <c r="BF93" s="314">
        <f>SUM(BE$80:BE93)</f>
        <v>0.55619596541786742</v>
      </c>
      <c r="BG93" s="315">
        <v>125000</v>
      </c>
      <c r="BH93" s="323">
        <f>BG93/$BG$103</f>
        <v>0.46992481203007519</v>
      </c>
    </row>
    <row r="94" spans="1:60" s="112" customFormat="1" x14ac:dyDescent="0.3">
      <c r="A94" s="193"/>
      <c r="B94" s="193"/>
      <c r="C94" s="126"/>
      <c r="G94" s="109">
        <v>13</v>
      </c>
      <c r="H94" s="428">
        <f t="shared" si="38"/>
        <v>44257.666666666664</v>
      </c>
      <c r="I94" s="154">
        <f t="shared" si="27"/>
        <v>55585</v>
      </c>
      <c r="J94" s="155">
        <f t="shared" si="28"/>
        <v>39446.897201310436</v>
      </c>
      <c r="K94" s="155">
        <f t="shared" si="29"/>
        <v>57959.295139898844</v>
      </c>
      <c r="L94" s="427">
        <f t="shared" si="39"/>
        <v>37704</v>
      </c>
      <c r="M94" s="152">
        <f t="shared" si="30"/>
        <v>0.61760424884167953</v>
      </c>
      <c r="N94" s="153">
        <f t="shared" si="31"/>
        <v>1.51887201253319E-2</v>
      </c>
      <c r="O94" s="408"/>
      <c r="P94" s="324"/>
      <c r="Q94" s="253" t="s">
        <v>256</v>
      </c>
      <c r="R94" s="321">
        <v>13</v>
      </c>
      <c r="S94" s="322">
        <f t="shared" si="40"/>
        <v>3</v>
      </c>
      <c r="T94" s="303">
        <f t="shared" si="41"/>
        <v>44257</v>
      </c>
      <c r="U94" s="304">
        <v>0.66666666666666663</v>
      </c>
      <c r="V94" s="305">
        <f t="shared" si="20"/>
        <v>44257.666666666664</v>
      </c>
      <c r="W94" s="306">
        <f t="shared" si="23"/>
        <v>13</v>
      </c>
      <c r="X94" s="306">
        <f t="shared" si="42"/>
        <v>1</v>
      </c>
      <c r="Y94" s="318">
        <v>55585</v>
      </c>
      <c r="Z94" s="319">
        <v>319</v>
      </c>
      <c r="AA94" s="320">
        <f t="shared" si="43"/>
        <v>8</v>
      </c>
      <c r="AB94" s="308">
        <f t="shared" si="44"/>
        <v>1367</v>
      </c>
      <c r="AC94" s="310">
        <f t="shared" si="24"/>
        <v>174.24764890282131</v>
      </c>
      <c r="AD94" s="312">
        <f t="shared" si="45"/>
        <v>170.875</v>
      </c>
      <c r="AE94" s="312">
        <f t="shared" si="48"/>
        <v>179.07575757575756</v>
      </c>
      <c r="AF94" s="308">
        <v>39446.897201310436</v>
      </c>
      <c r="AG94" s="308">
        <f t="shared" si="47"/>
        <v>16138.102798689564</v>
      </c>
      <c r="AH94" s="405">
        <v>224</v>
      </c>
      <c r="AI94" s="405">
        <f t="shared" si="32"/>
        <v>95</v>
      </c>
      <c r="AJ94" s="308">
        <v>57959.295139898844</v>
      </c>
      <c r="AK94" s="308">
        <f t="shared" si="25"/>
        <v>-2374.2951398988444</v>
      </c>
      <c r="AL94" s="405">
        <v>349</v>
      </c>
      <c r="AM94" s="405">
        <f t="shared" si="33"/>
        <v>-30</v>
      </c>
      <c r="AN94" s="308">
        <f t="shared" si="34"/>
        <v>1367</v>
      </c>
      <c r="AO94" s="308">
        <f t="shared" si="26"/>
        <v>4275.7692307692305</v>
      </c>
      <c r="AP94" s="313">
        <f t="shared" si="21"/>
        <v>1.518872012533194E-2</v>
      </c>
      <c r="AQ94" s="313">
        <f t="shared" si="35"/>
        <v>0.61760424884167953</v>
      </c>
      <c r="AR94" s="314">
        <f t="shared" si="22"/>
        <v>1.6194331983805668E-2</v>
      </c>
      <c r="AS94" s="314">
        <f>SUM(AR$80:AR94)</f>
        <v>0.64574898785425117</v>
      </c>
      <c r="AT94" s="313">
        <v>2.2644538312483278E-2</v>
      </c>
      <c r="AU94" s="313">
        <v>0.60060320574666992</v>
      </c>
      <c r="AV94" s="314">
        <v>2.2935779816513763E-2</v>
      </c>
      <c r="AW94" s="314">
        <v>0.62691131498470942</v>
      </c>
      <c r="AX94" s="313">
        <v>1.7051618085973462E-2</v>
      </c>
      <c r="AY94" s="313">
        <f t="shared" si="36"/>
        <v>0.52223219049964531</v>
      </c>
      <c r="AZ94" s="314">
        <v>1.984126984126984E-2</v>
      </c>
      <c r="BA94" s="314">
        <f>SUM(AZ$80:AZ94)</f>
        <v>0.51058201058201058</v>
      </c>
      <c r="BB94" s="315">
        <f>Vergleich!C16</f>
        <v>37704</v>
      </c>
      <c r="BC94" s="313">
        <v>1.1516561071457154E-2</v>
      </c>
      <c r="BD94" s="313">
        <f t="shared" si="37"/>
        <v>0.60476381425936321</v>
      </c>
      <c r="BE94" s="314">
        <v>1.1527377521613813E-2</v>
      </c>
      <c r="BF94" s="314">
        <f>SUM(BE$80:BE94)</f>
        <v>0.56772334293948123</v>
      </c>
      <c r="BG94" s="315"/>
      <c r="BH94" s="313"/>
    </row>
    <row r="95" spans="1:60" s="112" customFormat="1" x14ac:dyDescent="0.3">
      <c r="A95" s="193"/>
      <c r="B95" s="193"/>
      <c r="C95" s="126"/>
      <c r="G95" s="109">
        <v>14</v>
      </c>
      <c r="H95" s="428">
        <f t="shared" si="38"/>
        <v>44258.666666666664</v>
      </c>
      <c r="I95" s="154">
        <f t="shared" si="27"/>
        <v>57658</v>
      </c>
      <c r="J95" s="155">
        <f t="shared" si="28"/>
        <v>40802.292553368206</v>
      </c>
      <c r="K95" s="155">
        <f t="shared" si="29"/>
        <v>59306.120992956021</v>
      </c>
      <c r="L95" s="427">
        <f t="shared" si="39"/>
        <v>38541</v>
      </c>
      <c r="M95" s="152">
        <f t="shared" si="30"/>
        <v>0.64063732625193048</v>
      </c>
      <c r="N95" s="153">
        <f t="shared" si="31"/>
        <v>2.3033077410250957E-2</v>
      </c>
      <c r="O95" s="408"/>
      <c r="P95" s="324"/>
      <c r="Q95" s="253" t="s">
        <v>258</v>
      </c>
      <c r="R95" s="321">
        <v>14</v>
      </c>
      <c r="S95" s="322">
        <f t="shared" si="40"/>
        <v>4</v>
      </c>
      <c r="T95" s="303">
        <f t="shared" si="41"/>
        <v>44258</v>
      </c>
      <c r="U95" s="304">
        <v>0.66666666666666663</v>
      </c>
      <c r="V95" s="305">
        <f t="shared" si="20"/>
        <v>44258.666666666664</v>
      </c>
      <c r="W95" s="306">
        <f t="shared" si="23"/>
        <v>14</v>
      </c>
      <c r="X95" s="306">
        <f t="shared" si="42"/>
        <v>1</v>
      </c>
      <c r="Y95" s="318">
        <v>57658</v>
      </c>
      <c r="Z95" s="319">
        <v>330</v>
      </c>
      <c r="AA95" s="320">
        <f t="shared" si="43"/>
        <v>11</v>
      </c>
      <c r="AB95" s="308">
        <f t="shared" si="44"/>
        <v>2073</v>
      </c>
      <c r="AC95" s="310">
        <f t="shared" si="24"/>
        <v>174.72121212121212</v>
      </c>
      <c r="AD95" s="312">
        <f t="shared" si="45"/>
        <v>188.45454545454547</v>
      </c>
      <c r="AE95" s="312">
        <f t="shared" si="48"/>
        <v>185.50793650793651</v>
      </c>
      <c r="AF95" s="308">
        <v>40802.292553368206</v>
      </c>
      <c r="AG95" s="308">
        <f t="shared" si="47"/>
        <v>16855.707446631794</v>
      </c>
      <c r="AH95" s="405">
        <v>230</v>
      </c>
      <c r="AI95" s="405">
        <f t="shared" si="32"/>
        <v>100</v>
      </c>
      <c r="AJ95" s="308">
        <v>59306.120992956021</v>
      </c>
      <c r="AK95" s="308">
        <f t="shared" si="25"/>
        <v>-1648.1209929560209</v>
      </c>
      <c r="AL95" s="405">
        <v>364</v>
      </c>
      <c r="AM95" s="405">
        <f t="shared" si="33"/>
        <v>-34</v>
      </c>
      <c r="AN95" s="308">
        <f t="shared" si="34"/>
        <v>2073</v>
      </c>
      <c r="AO95" s="308">
        <f t="shared" si="26"/>
        <v>4118.4285714285716</v>
      </c>
      <c r="AP95" s="313">
        <f t="shared" si="21"/>
        <v>2.3033077410250999E-2</v>
      </c>
      <c r="AQ95" s="313">
        <f t="shared" si="35"/>
        <v>0.64063732625193048</v>
      </c>
      <c r="AR95" s="314">
        <f t="shared" si="22"/>
        <v>2.2267206477732792E-2</v>
      </c>
      <c r="AS95" s="314">
        <f>SUM(AR$80:AR95)</f>
        <v>0.668016194331984</v>
      </c>
      <c r="AT95" s="313">
        <v>1.0799328690378706E-2</v>
      </c>
      <c r="AU95" s="313">
        <v>0.61140253443704862</v>
      </c>
      <c r="AV95" s="314">
        <v>1.0703363914373088E-2</v>
      </c>
      <c r="AW95" s="314">
        <v>0.63761467889908252</v>
      </c>
      <c r="AX95" s="313">
        <v>2.3730363959399793E-2</v>
      </c>
      <c r="AY95" s="313">
        <f t="shared" si="36"/>
        <v>0.54596255445904507</v>
      </c>
      <c r="AZ95" s="314">
        <v>2.2486772486772486E-2</v>
      </c>
      <c r="BA95" s="314">
        <f>SUM(AZ$80:AZ95)</f>
        <v>0.53306878306878303</v>
      </c>
      <c r="BB95" s="315">
        <f>Vergleich!C17</f>
        <v>38541</v>
      </c>
      <c r="BC95" s="313">
        <v>1.342529473093268E-2</v>
      </c>
      <c r="BD95" s="313">
        <f t="shared" si="37"/>
        <v>0.61818910899029589</v>
      </c>
      <c r="BE95" s="314">
        <v>2.3054755043227737E-2</v>
      </c>
      <c r="BF95" s="314">
        <f>SUM(BE$80:BE95)</f>
        <v>0.59077809798270897</v>
      </c>
      <c r="BG95" s="315"/>
      <c r="BH95" s="313"/>
    </row>
    <row r="96" spans="1:60" s="112" customFormat="1" x14ac:dyDescent="0.3">
      <c r="A96" s="193"/>
      <c r="B96" s="193"/>
      <c r="C96" s="126"/>
      <c r="G96" s="109">
        <v>15</v>
      </c>
      <c r="H96" s="428">
        <f t="shared" si="38"/>
        <v>44259.666666666664</v>
      </c>
      <c r="I96" s="154">
        <f t="shared" si="27"/>
        <v>59154</v>
      </c>
      <c r="J96" s="155">
        <f t="shared" si="28"/>
        <v>42261.511122410884</v>
      </c>
      <c r="K96" s="155">
        <f t="shared" si="29"/>
        <v>62299.067333083098</v>
      </c>
      <c r="L96" s="427">
        <f t="shared" si="39"/>
        <v>40401</v>
      </c>
      <c r="M96" s="152">
        <f t="shared" si="30"/>
        <v>0.65725936378484684</v>
      </c>
      <c r="N96" s="153">
        <f t="shared" si="31"/>
        <v>1.6622037532916356E-2</v>
      </c>
      <c r="O96" s="408"/>
      <c r="P96" s="324"/>
      <c r="Q96" s="253"/>
      <c r="R96" s="321">
        <v>15</v>
      </c>
      <c r="S96" s="322">
        <f t="shared" si="40"/>
        <v>5</v>
      </c>
      <c r="T96" s="303">
        <f t="shared" si="41"/>
        <v>44259</v>
      </c>
      <c r="U96" s="304">
        <v>0.66666666666666663</v>
      </c>
      <c r="V96" s="305">
        <f t="shared" si="20"/>
        <v>44259.666666666664</v>
      </c>
      <c r="W96" s="306">
        <f t="shared" si="23"/>
        <v>15</v>
      </c>
      <c r="X96" s="306">
        <f t="shared" si="42"/>
        <v>1</v>
      </c>
      <c r="Y96" s="318">
        <v>59154</v>
      </c>
      <c r="Z96" s="319">
        <v>337</v>
      </c>
      <c r="AA96" s="320">
        <f t="shared" si="43"/>
        <v>7</v>
      </c>
      <c r="AB96" s="308">
        <f t="shared" si="44"/>
        <v>1496</v>
      </c>
      <c r="AC96" s="310">
        <f t="shared" si="24"/>
        <v>175.53115727002967</v>
      </c>
      <c r="AD96" s="312">
        <f t="shared" si="45"/>
        <v>213.71428571428572</v>
      </c>
      <c r="AE96" s="312">
        <f t="shared" si="48"/>
        <v>187.29090909090908</v>
      </c>
      <c r="AF96" s="308">
        <v>42261.511122410884</v>
      </c>
      <c r="AG96" s="308">
        <f t="shared" si="47"/>
        <v>16892.488877589116</v>
      </c>
      <c r="AH96" s="405">
        <v>237</v>
      </c>
      <c r="AI96" s="405">
        <f t="shared" si="32"/>
        <v>100</v>
      </c>
      <c r="AJ96" s="308">
        <v>62299.067333083098</v>
      </c>
      <c r="AK96" s="308">
        <f t="shared" si="25"/>
        <v>-3145.0673330830978</v>
      </c>
      <c r="AL96" s="405">
        <v>381</v>
      </c>
      <c r="AM96" s="405">
        <f t="shared" si="33"/>
        <v>-44</v>
      </c>
      <c r="AN96" s="308">
        <f t="shared" si="34"/>
        <v>1496</v>
      </c>
      <c r="AO96" s="308">
        <f t="shared" si="26"/>
        <v>3943.6</v>
      </c>
      <c r="AP96" s="313">
        <f t="shared" si="21"/>
        <v>1.6622037532916301E-2</v>
      </c>
      <c r="AQ96" s="313">
        <f t="shared" si="35"/>
        <v>0.65725936378484673</v>
      </c>
      <c r="AR96" s="314">
        <f t="shared" si="22"/>
        <v>1.417004048582996E-2</v>
      </c>
      <c r="AS96" s="314">
        <f>SUM(AR$80:AR96)</f>
        <v>0.68218623481781393</v>
      </c>
      <c r="AT96" s="313">
        <v>1.3012704615659027E-2</v>
      </c>
      <c r="AU96" s="313">
        <v>0.62441523905270768</v>
      </c>
      <c r="AV96" s="314">
        <v>1.5290519877675841E-2</v>
      </c>
      <c r="AW96" s="314">
        <v>0.65290519877675834</v>
      </c>
      <c r="AX96" s="313">
        <v>2.5548108665951298E-2</v>
      </c>
      <c r="AY96" s="313">
        <f t="shared" si="36"/>
        <v>0.57151066312499632</v>
      </c>
      <c r="AZ96" s="314">
        <v>2.5132275132275131E-2</v>
      </c>
      <c r="BA96" s="314">
        <f>SUM(AZ$80:AZ96)</f>
        <v>0.55820105820105814</v>
      </c>
      <c r="BB96" s="315">
        <f>Vergleich!C18</f>
        <v>40401</v>
      </c>
      <c r="BC96" s="313">
        <v>2.9833988290961622E-2</v>
      </c>
      <c r="BD96" s="313">
        <f t="shared" si="37"/>
        <v>0.64802309728125751</v>
      </c>
      <c r="BE96" s="314">
        <v>2.5936599423631135E-2</v>
      </c>
      <c r="BF96" s="314">
        <f>SUM(BE$80:BE96)</f>
        <v>0.61671469740634011</v>
      </c>
      <c r="BG96" s="315"/>
      <c r="BH96" s="313"/>
    </row>
    <row r="97" spans="1:60" s="112" customFormat="1" x14ac:dyDescent="0.3">
      <c r="A97" s="193"/>
      <c r="B97" s="193"/>
      <c r="C97" s="126"/>
      <c r="G97" s="109">
        <v>16</v>
      </c>
      <c r="H97" s="428">
        <f t="shared" si="38"/>
        <v>44260.666666666664</v>
      </c>
      <c r="I97" s="154">
        <f t="shared" si="27"/>
        <v>61842</v>
      </c>
      <c r="J97" s="155">
        <f t="shared" si="28"/>
        <v>44266.303951029076</v>
      </c>
      <c r="K97" s="155">
        <f t="shared" si="29"/>
        <v>65317.759448179007</v>
      </c>
      <c r="L97" s="427">
        <f t="shared" si="39"/>
        <v>42277</v>
      </c>
      <c r="M97" s="152">
        <f t="shared" si="30"/>
        <v>0.68712569860334882</v>
      </c>
      <c r="N97" s="153">
        <f t="shared" si="31"/>
        <v>2.9866334818501983E-2</v>
      </c>
      <c r="O97" s="408"/>
      <c r="P97" s="324"/>
      <c r="Q97" s="253" t="s">
        <v>261</v>
      </c>
      <c r="R97" s="321">
        <v>16</v>
      </c>
      <c r="S97" s="322">
        <f t="shared" si="40"/>
        <v>6</v>
      </c>
      <c r="T97" s="303">
        <f t="shared" si="41"/>
        <v>44260</v>
      </c>
      <c r="U97" s="304">
        <v>0.66666666666666663</v>
      </c>
      <c r="V97" s="305">
        <f t="shared" si="20"/>
        <v>44260.666666666664</v>
      </c>
      <c r="W97" s="306">
        <f t="shared" si="23"/>
        <v>16</v>
      </c>
      <c r="X97" s="306">
        <f t="shared" si="42"/>
        <v>1</v>
      </c>
      <c r="Y97" s="318">
        <v>61842</v>
      </c>
      <c r="Z97" s="319">
        <v>349</v>
      </c>
      <c r="AA97" s="320">
        <f t="shared" si="43"/>
        <v>12</v>
      </c>
      <c r="AB97" s="308">
        <f t="shared" si="44"/>
        <v>2688</v>
      </c>
      <c r="AC97" s="310">
        <f t="shared" si="24"/>
        <v>177.19770773638967</v>
      </c>
      <c r="AD97" s="312">
        <f t="shared" si="45"/>
        <v>224</v>
      </c>
      <c r="AE97" s="312">
        <f t="shared" si="48"/>
        <v>199.27586206896552</v>
      </c>
      <c r="AF97" s="308">
        <v>44266.303951029076</v>
      </c>
      <c r="AG97" s="308">
        <f t="shared" si="47"/>
        <v>17575.696048970924</v>
      </c>
      <c r="AH97" s="405">
        <v>246</v>
      </c>
      <c r="AI97" s="405">
        <f t="shared" si="32"/>
        <v>103</v>
      </c>
      <c r="AJ97" s="308">
        <v>65317.759448179007</v>
      </c>
      <c r="AK97" s="308">
        <f t="shared" si="25"/>
        <v>-3475.7594481790074</v>
      </c>
      <c r="AL97" s="405">
        <v>399</v>
      </c>
      <c r="AM97" s="405">
        <f t="shared" si="33"/>
        <v>-50</v>
      </c>
      <c r="AN97" s="308">
        <f t="shared" si="34"/>
        <v>2688</v>
      </c>
      <c r="AO97" s="308">
        <f t="shared" si="26"/>
        <v>3865.125</v>
      </c>
      <c r="AP97" s="313">
        <f t="shared" si="21"/>
        <v>2.9866334818502017E-2</v>
      </c>
      <c r="AQ97" s="313">
        <f t="shared" si="35"/>
        <v>0.68712569860334871</v>
      </c>
      <c r="AR97" s="314">
        <f t="shared" si="22"/>
        <v>2.4291497975708502E-2</v>
      </c>
      <c r="AS97" s="314">
        <f>SUM(AR$80:AR97)</f>
        <v>0.70647773279352244</v>
      </c>
      <c r="AT97" s="313">
        <v>2.4590363301740702E-2</v>
      </c>
      <c r="AU97" s="313">
        <v>0.64900560235444837</v>
      </c>
      <c r="AV97" s="314">
        <v>2.5993883792048929E-2</v>
      </c>
      <c r="AW97" s="314">
        <v>0.67889908256880727</v>
      </c>
      <c r="AX97" s="313">
        <v>3.5100063914249358E-2</v>
      </c>
      <c r="AY97" s="313">
        <f t="shared" si="36"/>
        <v>0.60661072703924568</v>
      </c>
      <c r="AZ97" s="314">
        <v>3.0423280423280422E-2</v>
      </c>
      <c r="BA97" s="314">
        <f>SUM(AZ$80:AZ97)</f>
        <v>0.58862433862433861</v>
      </c>
      <c r="BB97" s="315">
        <f>Vergleich!C19</f>
        <v>42277</v>
      </c>
      <c r="BC97" s="313">
        <v>3.0090624749378514E-2</v>
      </c>
      <c r="BD97" s="313">
        <f t="shared" si="37"/>
        <v>0.67811372203063602</v>
      </c>
      <c r="BE97" s="314">
        <v>2.8818443804034533E-2</v>
      </c>
      <c r="BF97" s="314">
        <f>SUM(BE$80:BE97)</f>
        <v>0.64553314121037464</v>
      </c>
      <c r="BG97" s="315"/>
      <c r="BH97" s="313"/>
    </row>
    <row r="98" spans="1:60" s="112" customFormat="1" x14ac:dyDescent="0.3">
      <c r="A98" s="193"/>
      <c r="B98" s="193"/>
      <c r="C98" s="126"/>
      <c r="G98" s="109">
        <v>17</v>
      </c>
      <c r="H98" s="428">
        <f t="shared" si="38"/>
        <v>44261.666666666664</v>
      </c>
      <c r="I98" s="154">
        <f t="shared" si="27"/>
        <v>64258</v>
      </c>
      <c r="J98" s="155">
        <f t="shared" si="28"/>
        <v>46307.602362393576</v>
      </c>
      <c r="K98" s="155">
        <f t="shared" si="29"/>
        <v>68153.012916621956</v>
      </c>
      <c r="L98" s="427">
        <f t="shared" si="39"/>
        <v>44039</v>
      </c>
      <c r="M98" s="152">
        <f t="shared" si="30"/>
        <v>0.71396984477950243</v>
      </c>
      <c r="N98" s="153">
        <f t="shared" si="31"/>
        <v>2.6844146176153605E-2</v>
      </c>
      <c r="O98" s="408"/>
      <c r="P98" s="324"/>
      <c r="Q98" s="253" t="s">
        <v>262</v>
      </c>
      <c r="R98" s="321">
        <v>17</v>
      </c>
      <c r="S98" s="322">
        <f t="shared" si="40"/>
        <v>7</v>
      </c>
      <c r="T98" s="303">
        <f t="shared" si="41"/>
        <v>44261</v>
      </c>
      <c r="U98" s="304">
        <v>0.66666666666666663</v>
      </c>
      <c r="V98" s="305">
        <f t="shared" si="20"/>
        <v>44261.666666666664</v>
      </c>
      <c r="W98" s="306">
        <f t="shared" si="23"/>
        <v>17</v>
      </c>
      <c r="X98" s="306">
        <f t="shared" si="42"/>
        <v>1</v>
      </c>
      <c r="Y98" s="318">
        <v>64258</v>
      </c>
      <c r="Z98" s="319">
        <v>363</v>
      </c>
      <c r="AA98" s="320">
        <f t="shared" si="43"/>
        <v>14</v>
      </c>
      <c r="AB98" s="308">
        <f t="shared" si="44"/>
        <v>2416</v>
      </c>
      <c r="AC98" s="310">
        <f t="shared" si="24"/>
        <v>177.01928374655648</v>
      </c>
      <c r="AD98" s="312">
        <f t="shared" si="45"/>
        <v>172.57142857142858</v>
      </c>
      <c r="AE98" s="312">
        <f t="shared" si="48"/>
        <v>193.07692307692307</v>
      </c>
      <c r="AF98" s="308">
        <v>46307.602362393576</v>
      </c>
      <c r="AG98" s="308">
        <f t="shared" si="47"/>
        <v>17950.397637606424</v>
      </c>
      <c r="AH98" s="405">
        <v>256</v>
      </c>
      <c r="AI98" s="405">
        <f t="shared" si="32"/>
        <v>107</v>
      </c>
      <c r="AJ98" s="308">
        <v>68153.012916621956</v>
      </c>
      <c r="AK98" s="308">
        <f t="shared" si="25"/>
        <v>-3895.0129166219558</v>
      </c>
      <c r="AL98" s="405">
        <v>416</v>
      </c>
      <c r="AM98" s="405">
        <f t="shared" si="33"/>
        <v>-53</v>
      </c>
      <c r="AN98" s="308">
        <f t="shared" si="34"/>
        <v>2416</v>
      </c>
      <c r="AO98" s="308">
        <f t="shared" si="26"/>
        <v>3779.8823529411766</v>
      </c>
      <c r="AP98" s="313">
        <f t="shared" si="21"/>
        <v>2.6844146176153598E-2</v>
      </c>
      <c r="AQ98" s="313">
        <f t="shared" si="35"/>
        <v>0.71396984477950232</v>
      </c>
      <c r="AR98" s="314">
        <f t="shared" si="22"/>
        <v>2.8340080971659919E-2</v>
      </c>
      <c r="AS98" s="314">
        <f>SUM(AR$80:AR98)</f>
        <v>0.7348178137651824</v>
      </c>
      <c r="AT98" s="313">
        <v>5.5001986363009868E-2</v>
      </c>
      <c r="AU98" s="313">
        <v>0.70400758871745828</v>
      </c>
      <c r="AV98" s="314">
        <v>6.5749235474006115E-2</v>
      </c>
      <c r="AW98" s="314">
        <v>0.7446483180428134</v>
      </c>
      <c r="AX98" s="313">
        <v>3.5739206407843276E-2</v>
      </c>
      <c r="AY98" s="313">
        <f t="shared" si="36"/>
        <v>0.64234993344708891</v>
      </c>
      <c r="AZ98" s="314">
        <v>3.439153439153439E-2</v>
      </c>
      <c r="BA98" s="314">
        <f>SUM(AZ83:AZ98)</f>
        <v>0.38624338624338628</v>
      </c>
      <c r="BB98" s="315">
        <f>Vergleich!C20</f>
        <v>44039</v>
      </c>
      <c r="BC98" s="313">
        <v>2.8262089983158156E-2</v>
      </c>
      <c r="BD98" s="313">
        <f t="shared" si="37"/>
        <v>0.70637581201379418</v>
      </c>
      <c r="BE98" s="314">
        <v>2.5936599423631135E-2</v>
      </c>
      <c r="BF98" s="314">
        <f>SUM(BE83:BE98)</f>
        <v>0.46109510086455335</v>
      </c>
      <c r="BG98" s="315"/>
      <c r="BH98" s="313"/>
    </row>
    <row r="99" spans="1:60" s="112" customFormat="1" x14ac:dyDescent="0.3">
      <c r="A99" s="193"/>
      <c r="B99" s="193"/>
      <c r="C99" s="126"/>
      <c r="G99" s="109">
        <v>18</v>
      </c>
      <c r="H99" s="428">
        <f t="shared" si="38"/>
        <v>44262.666666666664</v>
      </c>
      <c r="I99" s="154">
        <f t="shared" si="27"/>
        <v>66749</v>
      </c>
      <c r="J99" s="155">
        <f t="shared" si="28"/>
        <v>48274.549953852751</v>
      </c>
      <c r="K99" s="155">
        <f t="shared" si="29"/>
        <v>72372.101789639797</v>
      </c>
      <c r="L99" s="427">
        <f t="shared" si="39"/>
        <v>46661</v>
      </c>
      <c r="M99" s="152">
        <f t="shared" si="30"/>
        <v>0.74164731502983305</v>
      </c>
      <c r="N99" s="153">
        <f t="shared" si="31"/>
        <v>2.7677470250330627E-2</v>
      </c>
      <c r="O99" s="408"/>
      <c r="P99" s="324"/>
      <c r="Q99" s="253" t="s">
        <v>263</v>
      </c>
      <c r="R99" s="321">
        <v>18</v>
      </c>
      <c r="S99" s="322">
        <f t="shared" si="40"/>
        <v>1</v>
      </c>
      <c r="T99" s="303">
        <f t="shared" si="41"/>
        <v>44262</v>
      </c>
      <c r="U99" s="304">
        <v>0.66666666666666663</v>
      </c>
      <c r="V99" s="305">
        <f t="shared" si="20"/>
        <v>44262.666666666664</v>
      </c>
      <c r="W99" s="306">
        <f t="shared" si="23"/>
        <v>18</v>
      </c>
      <c r="X99" s="306">
        <f t="shared" si="42"/>
        <v>1</v>
      </c>
      <c r="Y99" s="318">
        <v>66749</v>
      </c>
      <c r="Z99" s="319">
        <v>377</v>
      </c>
      <c r="AA99" s="320">
        <f t="shared" si="43"/>
        <v>14</v>
      </c>
      <c r="AB99" s="308">
        <f t="shared" si="44"/>
        <v>2491</v>
      </c>
      <c r="AC99" s="310">
        <f t="shared" si="24"/>
        <v>177.053050397878</v>
      </c>
      <c r="AD99" s="312">
        <f t="shared" si="45"/>
        <v>177.92857142857142</v>
      </c>
      <c r="AE99" s="312">
        <f t="shared" si="48"/>
        <v>192.48275862068965</v>
      </c>
      <c r="AF99" s="308">
        <v>48274.549953852751</v>
      </c>
      <c r="AG99" s="308">
        <f t="shared" si="47"/>
        <v>18474.450046147249</v>
      </c>
      <c r="AH99" s="405">
        <v>267</v>
      </c>
      <c r="AI99" s="405">
        <f t="shared" si="32"/>
        <v>110</v>
      </c>
      <c r="AJ99" s="308">
        <v>72372.101789639797</v>
      </c>
      <c r="AK99" s="308">
        <f t="shared" si="25"/>
        <v>-5623.1017896397971</v>
      </c>
      <c r="AL99" s="405">
        <v>447</v>
      </c>
      <c r="AM99" s="405">
        <f t="shared" si="33"/>
        <v>-70</v>
      </c>
      <c r="AN99" s="308">
        <f t="shared" si="34"/>
        <v>2491</v>
      </c>
      <c r="AO99" s="308">
        <f t="shared" si="26"/>
        <v>3708.2777777777778</v>
      </c>
      <c r="AP99" s="313">
        <f t="shared" si="21"/>
        <v>2.7677470250330551E-2</v>
      </c>
      <c r="AQ99" s="313">
        <f t="shared" si="35"/>
        <v>0.74164731502983283</v>
      </c>
      <c r="AR99" s="314">
        <f t="shared" si="22"/>
        <v>2.8340080971659919E-2</v>
      </c>
      <c r="AS99" s="314">
        <f>SUM(AR$80:AR99)</f>
        <v>0.76315789473684237</v>
      </c>
      <c r="AT99" s="313">
        <v>4.1681192790718413E-2</v>
      </c>
      <c r="AU99" s="313">
        <v>0.74568878150817675</v>
      </c>
      <c r="AV99" s="314">
        <v>4.1284403669724773E-2</v>
      </c>
      <c r="AW99" s="314">
        <v>0.78593272171253814</v>
      </c>
      <c r="AX99" s="313">
        <v>3.4437466650248327E-2</v>
      </c>
      <c r="AY99" s="313">
        <f t="shared" si="36"/>
        <v>0.67678740009733729</v>
      </c>
      <c r="AZ99" s="314">
        <v>3.968253968253968E-2</v>
      </c>
      <c r="BA99" s="314">
        <f>SUM(AZ$80:AZ99)</f>
        <v>0.66269841269841268</v>
      </c>
      <c r="BB99" s="315">
        <f>Vergleich!C21</f>
        <v>46661</v>
      </c>
      <c r="BC99" s="313">
        <v>4.205629962306523E-2</v>
      </c>
      <c r="BD99" s="313">
        <f t="shared" si="37"/>
        <v>0.74843211163685941</v>
      </c>
      <c r="BE99" s="314">
        <v>4.8991354466858761E-2</v>
      </c>
      <c r="BF99" s="314">
        <f>SUM(BE$80:BE99)</f>
        <v>0.72046109510086453</v>
      </c>
      <c r="BG99" s="315"/>
      <c r="BH99" s="313"/>
    </row>
    <row r="100" spans="1:60" s="112" customFormat="1" x14ac:dyDescent="0.3">
      <c r="A100" s="193"/>
      <c r="B100" s="193"/>
      <c r="C100" s="126"/>
      <c r="G100" s="109">
        <v>19</v>
      </c>
      <c r="H100" s="428">
        <f t="shared" si="38"/>
        <v>44263.666666666664</v>
      </c>
      <c r="I100" s="154">
        <f t="shared" si="27"/>
        <v>71433</v>
      </c>
      <c r="J100" s="155">
        <f t="shared" si="28"/>
        <v>50994.718238857255</v>
      </c>
      <c r="K100" s="155">
        <f t="shared" si="29"/>
        <v>77062.660166774425</v>
      </c>
      <c r="L100" s="427">
        <f t="shared" si="39"/>
        <v>49576</v>
      </c>
      <c r="M100" s="152">
        <f t="shared" si="30"/>
        <v>0.79369118120909765</v>
      </c>
      <c r="N100" s="153">
        <f t="shared" si="31"/>
        <v>5.2043866179264597E-2</v>
      </c>
      <c r="O100" s="408"/>
      <c r="P100" s="324"/>
      <c r="Q100" s="253" t="s">
        <v>278</v>
      </c>
      <c r="R100" s="321">
        <v>19</v>
      </c>
      <c r="S100" s="322">
        <f t="shared" si="40"/>
        <v>2</v>
      </c>
      <c r="T100" s="303">
        <f t="shared" si="41"/>
        <v>44263</v>
      </c>
      <c r="U100" s="304">
        <v>0.66666666666666663</v>
      </c>
      <c r="V100" s="305">
        <f t="shared" si="20"/>
        <v>44263.666666666664</v>
      </c>
      <c r="W100" s="306">
        <f t="shared" si="23"/>
        <v>19</v>
      </c>
      <c r="X100" s="306">
        <f t="shared" si="42"/>
        <v>1</v>
      </c>
      <c r="Y100" s="307">
        <v>71433</v>
      </c>
      <c r="Z100" s="309">
        <v>401</v>
      </c>
      <c r="AA100" s="320">
        <f t="shared" si="43"/>
        <v>24</v>
      </c>
      <c r="AB100" s="308">
        <f t="shared" si="44"/>
        <v>4684</v>
      </c>
      <c r="AC100" s="310">
        <f t="shared" si="24"/>
        <v>178.13715710723193</v>
      </c>
      <c r="AD100" s="312">
        <f t="shared" si="45"/>
        <v>195.16666666666666</v>
      </c>
      <c r="AE100" s="312">
        <f t="shared" si="48"/>
        <v>194.01408450704224</v>
      </c>
      <c r="AF100" s="308">
        <v>50994.718238857255</v>
      </c>
      <c r="AG100" s="308">
        <f t="shared" si="47"/>
        <v>20438.281761142745</v>
      </c>
      <c r="AH100" s="405">
        <v>281</v>
      </c>
      <c r="AI100" s="405">
        <f t="shared" si="32"/>
        <v>120</v>
      </c>
      <c r="AJ100" s="308">
        <v>77062.660166774425</v>
      </c>
      <c r="AK100" s="308">
        <f t="shared" si="25"/>
        <v>-5629.6601667744253</v>
      </c>
      <c r="AL100" s="405">
        <v>478</v>
      </c>
      <c r="AM100" s="405">
        <f t="shared" si="33"/>
        <v>-77</v>
      </c>
      <c r="AN100" s="308">
        <f t="shared" si="34"/>
        <v>4684</v>
      </c>
      <c r="AO100" s="308">
        <f t="shared" si="26"/>
        <v>3759.6315789473683</v>
      </c>
      <c r="AP100" s="313">
        <f t="shared" si="21"/>
        <v>5.2043866179264674E-2</v>
      </c>
      <c r="AQ100" s="313">
        <f t="shared" si="35"/>
        <v>0.79369118120909754</v>
      </c>
      <c r="AR100" s="314">
        <f t="shared" si="22"/>
        <v>4.8582995951417005E-2</v>
      </c>
      <c r="AS100" s="314">
        <f>SUM(AR$80:AR100)</f>
        <v>0.81174089068825939</v>
      </c>
      <c r="AT100" s="313">
        <v>7.4557527505046989E-2</v>
      </c>
      <c r="AU100" s="313">
        <v>0.82024630901322371</v>
      </c>
      <c r="AV100" s="314">
        <v>5.3516819571865444E-2</v>
      </c>
      <c r="AW100" s="314">
        <v>0.83944954128440363</v>
      </c>
      <c r="AX100" s="313">
        <v>4.76249113116494E-2</v>
      </c>
      <c r="AY100" s="313">
        <f t="shared" si="36"/>
        <v>0.72441231140898665</v>
      </c>
      <c r="AZ100" s="314">
        <v>4.7619047619047616E-2</v>
      </c>
      <c r="BA100" s="314">
        <f>SUM(AZ$80:AZ100)</f>
        <v>0.71031746031746024</v>
      </c>
      <c r="BB100" s="315">
        <f>Vergleich!C22</f>
        <v>49576</v>
      </c>
      <c r="BC100" s="313">
        <v>4.6755954767824237E-2</v>
      </c>
      <c r="BD100" s="313">
        <f t="shared" si="37"/>
        <v>0.79518806640468365</v>
      </c>
      <c r="BE100" s="314">
        <v>4.8991354466858761E-2</v>
      </c>
      <c r="BF100" s="314">
        <f>SUM(BE$80:BE100)</f>
        <v>0.7694524495677233</v>
      </c>
      <c r="BG100" s="315"/>
      <c r="BH100" s="313"/>
    </row>
    <row r="101" spans="1:60" s="112" customFormat="1" x14ac:dyDescent="0.3">
      <c r="A101" s="193"/>
      <c r="B101" s="193"/>
      <c r="C101" s="126"/>
      <c r="G101" s="109">
        <v>20</v>
      </c>
      <c r="H101" s="428">
        <f t="shared" si="38"/>
        <v>44264.666666666664</v>
      </c>
      <c r="I101" s="154">
        <f t="shared" si="27"/>
        <v>78993</v>
      </c>
      <c r="J101" s="155">
        <f t="shared" si="28"/>
        <v>53266.102295604425</v>
      </c>
      <c r="K101" s="155">
        <f t="shared" si="29"/>
        <v>85166.142838215237</v>
      </c>
      <c r="L101" s="427">
        <f t="shared" si="39"/>
        <v>54612</v>
      </c>
      <c r="M101" s="152">
        <f t="shared" si="30"/>
        <v>0.87769024788613459</v>
      </c>
      <c r="N101" s="153">
        <f t="shared" si="31"/>
        <v>8.3999066677036938E-2</v>
      </c>
      <c r="O101" s="408"/>
      <c r="P101" s="324"/>
      <c r="Q101" s="253" t="s">
        <v>294</v>
      </c>
      <c r="R101" s="321">
        <v>20</v>
      </c>
      <c r="S101" s="322">
        <f t="shared" si="40"/>
        <v>3</v>
      </c>
      <c r="T101" s="303">
        <f t="shared" si="41"/>
        <v>44264</v>
      </c>
      <c r="U101" s="304">
        <v>0.66666666666666663</v>
      </c>
      <c r="V101" s="305">
        <f t="shared" si="20"/>
        <v>44264.666666666664</v>
      </c>
      <c r="W101" s="306">
        <f t="shared" si="23"/>
        <v>20</v>
      </c>
      <c r="X101" s="306">
        <f t="shared" si="42"/>
        <v>1</v>
      </c>
      <c r="Y101" s="307">
        <v>78993</v>
      </c>
      <c r="Z101" s="309">
        <v>440</v>
      </c>
      <c r="AA101" s="320">
        <f t="shared" si="43"/>
        <v>39</v>
      </c>
      <c r="AB101" s="308">
        <f t="shared" si="44"/>
        <v>7560</v>
      </c>
      <c r="AC101" s="310">
        <f t="shared" si="24"/>
        <v>179.52954545454546</v>
      </c>
      <c r="AD101" s="312">
        <f t="shared" si="45"/>
        <v>193.84615384615384</v>
      </c>
      <c r="AE101" s="312">
        <f t="shared" si="48"/>
        <v>192.61165048543688</v>
      </c>
      <c r="AF101" s="308">
        <v>53266.102295604425</v>
      </c>
      <c r="AG101" s="308">
        <f t="shared" si="47"/>
        <v>25726.897704395575</v>
      </c>
      <c r="AH101" s="405">
        <v>296</v>
      </c>
      <c r="AI101" s="405">
        <f t="shared" si="32"/>
        <v>144</v>
      </c>
      <c r="AJ101" s="308">
        <v>85166.142838215237</v>
      </c>
      <c r="AK101" s="308">
        <f t="shared" si="25"/>
        <v>-6173.1428382152371</v>
      </c>
      <c r="AL101" s="405">
        <v>539</v>
      </c>
      <c r="AM101" s="405">
        <f t="shared" si="33"/>
        <v>-99</v>
      </c>
      <c r="AN101" s="308">
        <f t="shared" si="34"/>
        <v>7560</v>
      </c>
      <c r="AO101" s="308">
        <f t="shared" si="26"/>
        <v>3949.65</v>
      </c>
      <c r="AP101" s="313">
        <f t="shared" si="21"/>
        <v>8.3999066677036924E-2</v>
      </c>
      <c r="AQ101" s="313">
        <f t="shared" si="35"/>
        <v>0.87769024788613448</v>
      </c>
      <c r="AR101" s="314">
        <f t="shared" si="22"/>
        <v>7.8947368421052627E-2</v>
      </c>
      <c r="AS101" s="314">
        <f>SUM(AR$80:AR101)</f>
        <v>0.89068825910931204</v>
      </c>
      <c r="AT101" s="313">
        <v>6.2363690905700458E-2</v>
      </c>
      <c r="AU101" s="313">
        <v>0.88260999991892419</v>
      </c>
      <c r="AV101" s="314">
        <v>5.3516819571865444E-2</v>
      </c>
      <c r="AW101" s="314">
        <v>0.89296636085626913</v>
      </c>
      <c r="AX101" s="313">
        <v>3.9767563225265479E-2</v>
      </c>
      <c r="AY101" s="313">
        <f t="shared" si="36"/>
        <v>0.76417987463425208</v>
      </c>
      <c r="AZ101" s="314">
        <v>5.1587301587301584E-2</v>
      </c>
      <c r="BA101" s="314">
        <f>SUM(AZ$80:AZ101)</f>
        <v>0.76190476190476186</v>
      </c>
      <c r="BB101" s="315">
        <f>Vergleich!C23</f>
        <v>54612</v>
      </c>
      <c r="BC101" s="313">
        <v>8.077632528671097E-2</v>
      </c>
      <c r="BD101" s="313">
        <f t="shared" si="37"/>
        <v>0.87596439169139462</v>
      </c>
      <c r="BE101" s="314">
        <v>9.5100864553314124E-2</v>
      </c>
      <c r="BF101" s="314">
        <f>SUM(BE$80:BE101)</f>
        <v>0.86455331412103742</v>
      </c>
      <c r="BG101" s="315"/>
      <c r="BH101" s="313"/>
    </row>
    <row r="102" spans="1:60" s="112" customFormat="1" x14ac:dyDescent="0.3">
      <c r="A102" s="193"/>
      <c r="B102" s="193"/>
      <c r="C102" s="126"/>
      <c r="G102" s="109">
        <v>21</v>
      </c>
      <c r="H102" s="428">
        <f t="shared" si="38"/>
        <v>44265.833333333336</v>
      </c>
      <c r="I102" s="154">
        <f t="shared" si="27"/>
        <v>90001</v>
      </c>
      <c r="J102" s="155">
        <f>AF107</f>
        <v>66735.322674578318</v>
      </c>
      <c r="K102" s="155">
        <f>AJ107</f>
        <v>97609.397702840331</v>
      </c>
      <c r="L102" s="427">
        <f t="shared" si="39"/>
        <v>62345</v>
      </c>
      <c r="M102" s="152">
        <f t="shared" si="30"/>
        <v>1</v>
      </c>
      <c r="N102" s="153">
        <f t="shared" si="31"/>
        <v>0.12230975211386541</v>
      </c>
      <c r="O102" s="408"/>
      <c r="P102" s="324"/>
      <c r="Q102" s="253"/>
      <c r="R102" s="321">
        <v>21</v>
      </c>
      <c r="S102" s="322">
        <f t="shared" si="40"/>
        <v>4</v>
      </c>
      <c r="T102" s="303">
        <f t="shared" si="41"/>
        <v>44265</v>
      </c>
      <c r="U102" s="304">
        <v>0.83333333333333337</v>
      </c>
      <c r="V102" s="305">
        <f t="shared" si="20"/>
        <v>44265.833333333336</v>
      </c>
      <c r="W102" s="306">
        <f t="shared" si="23"/>
        <v>21.166666666671517</v>
      </c>
      <c r="X102" s="306">
        <f t="shared" si="42"/>
        <v>1.1666666666715173</v>
      </c>
      <c r="Y102" s="318">
        <v>90001</v>
      </c>
      <c r="Z102" s="309">
        <v>496</v>
      </c>
      <c r="AA102" s="320">
        <f t="shared" si="43"/>
        <v>56</v>
      </c>
      <c r="AB102" s="308">
        <f t="shared" si="44"/>
        <v>11008</v>
      </c>
      <c r="AC102" s="310">
        <f t="shared" si="24"/>
        <v>181.45362903225808</v>
      </c>
      <c r="AD102" s="312">
        <f t="shared" si="45"/>
        <v>196.57142857142858</v>
      </c>
      <c r="AE102" s="312">
        <f t="shared" si="48"/>
        <v>191.55782312925169</v>
      </c>
      <c r="AF102" s="308">
        <v>66735.322674578332</v>
      </c>
      <c r="AG102" s="308">
        <f>Y102-AF107</f>
        <v>23265.677325421682</v>
      </c>
      <c r="AH102" s="405">
        <v>364</v>
      </c>
      <c r="AI102" s="405">
        <f>Z107-AH107</f>
        <v>132</v>
      </c>
      <c r="AJ102" s="308">
        <v>97609.397702840317</v>
      </c>
      <c r="AK102" s="308">
        <f>Y102-AJ107</f>
        <v>-7608.3977028403315</v>
      </c>
      <c r="AL102" s="405">
        <v>625</v>
      </c>
      <c r="AM102" s="405">
        <f>Z107-AL107</f>
        <v>-131</v>
      </c>
      <c r="AN102" s="308">
        <f t="shared" si="34"/>
        <v>9435.4285713893423</v>
      </c>
      <c r="AO102" s="308">
        <f t="shared" si="26"/>
        <v>4252.0157480305215</v>
      </c>
      <c r="AP102" s="313">
        <f t="shared" si="21"/>
        <v>0.1223097521138654</v>
      </c>
      <c r="AQ102" s="313">
        <f t="shared" si="35"/>
        <v>0.99999999999999989</v>
      </c>
      <c r="AR102" s="314">
        <f t="shared" si="22"/>
        <v>0.11336032388663968</v>
      </c>
      <c r="AS102" s="314">
        <f>SUM(AR$80:AR102)</f>
        <v>1.0040485829959518</v>
      </c>
      <c r="AT102" s="313">
        <v>0.11739000008107604</v>
      </c>
      <c r="AU102" s="313">
        <v>1.0000000000000002</v>
      </c>
      <c r="AV102" s="314">
        <v>0.10703363914373089</v>
      </c>
      <c r="AW102" s="314">
        <v>1</v>
      </c>
      <c r="AX102" s="313">
        <v>0.23582012536574781</v>
      </c>
      <c r="AY102" s="313">
        <f t="shared" si="36"/>
        <v>0.99999999999999989</v>
      </c>
      <c r="AZ102" s="314">
        <v>0.23809523809523808</v>
      </c>
      <c r="BA102" s="314">
        <f>SUM(AZ$80:AZ102)</f>
        <v>1</v>
      </c>
      <c r="BB102" s="315">
        <f>Vergleich!C24</f>
        <v>62345</v>
      </c>
      <c r="BC102" s="313">
        <v>0.12403560830860538</v>
      </c>
      <c r="BD102" s="313">
        <f t="shared" si="37"/>
        <v>1</v>
      </c>
      <c r="BE102" s="314">
        <v>0.13544668587896258</v>
      </c>
      <c r="BF102" s="314">
        <f>SUM(BE$80:BE102)</f>
        <v>1</v>
      </c>
      <c r="BG102" s="315"/>
      <c r="BH102" s="313"/>
    </row>
    <row r="103" spans="1:60" s="43" customFormat="1" x14ac:dyDescent="0.3">
      <c r="A103" s="372"/>
      <c r="B103" s="372"/>
      <c r="D103" s="373"/>
      <c r="G103" s="374"/>
      <c r="H103" s="374"/>
      <c r="I103" s="374"/>
      <c r="J103" s="374"/>
      <c r="K103" s="374"/>
      <c r="L103" s="374"/>
      <c r="M103" s="374"/>
      <c r="N103" s="374"/>
      <c r="O103" s="147"/>
      <c r="P103" s="326"/>
      <c r="Q103" s="326"/>
      <c r="R103" s="326"/>
      <c r="S103" s="326"/>
      <c r="T103" s="326"/>
      <c r="U103" s="326"/>
      <c r="V103" s="326"/>
      <c r="W103" s="333"/>
      <c r="X103" s="326"/>
      <c r="Y103" s="326"/>
      <c r="Z103" s="394"/>
      <c r="AA103" s="375">
        <f>SUM(AA80:AA102)</f>
        <v>496</v>
      </c>
      <c r="AB103" s="328">
        <f>SUM(AB80:AB102)</f>
        <v>90001</v>
      </c>
      <c r="AC103" s="394"/>
      <c r="AD103" s="376">
        <f t="shared" si="45"/>
        <v>181.45362903225808</v>
      </c>
      <c r="AE103" s="376"/>
      <c r="AF103" s="394" t="s">
        <v>203</v>
      </c>
      <c r="AG103" s="236"/>
      <c r="AH103" s="394" t="s">
        <v>203</v>
      </c>
      <c r="AI103" s="396"/>
      <c r="AJ103" s="394" t="s">
        <v>204</v>
      </c>
      <c r="AK103" s="198"/>
      <c r="AL103" s="394" t="s">
        <v>204</v>
      </c>
      <c r="AM103" s="396"/>
      <c r="AN103" s="394"/>
      <c r="AO103" s="326"/>
      <c r="AP103" s="377">
        <f>SUM(AP80:AP102)</f>
        <v>0.99999999999999989</v>
      </c>
      <c r="AQ103" s="377"/>
      <c r="AR103" s="378">
        <f>SUM(AR80:AR102)</f>
        <v>1.0040485829959518</v>
      </c>
      <c r="AS103" s="379"/>
      <c r="AT103" s="377">
        <v>1.0000000000000002</v>
      </c>
      <c r="AU103" s="377"/>
      <c r="AV103" s="378">
        <v>1</v>
      </c>
      <c r="AW103" s="379"/>
      <c r="AX103" s="377">
        <f t="shared" ref="AX103:AZ103" si="49">SUM(AX80:AX102)</f>
        <v>0.99999999999999989</v>
      </c>
      <c r="AY103" s="377"/>
      <c r="AZ103" s="378">
        <f t="shared" si="49"/>
        <v>1</v>
      </c>
      <c r="BA103" s="379"/>
      <c r="BB103" s="380"/>
      <c r="BC103" s="377">
        <f t="shared" ref="BC103:BE103" si="50">SUM(BC80:BC102)</f>
        <v>1</v>
      </c>
      <c r="BD103" s="377"/>
      <c r="BE103" s="378">
        <f t="shared" si="50"/>
        <v>1</v>
      </c>
      <c r="BF103" s="379"/>
      <c r="BG103" s="380">
        <v>266000</v>
      </c>
      <c r="BH103" s="377">
        <f>BG103/$BG$103</f>
        <v>1</v>
      </c>
    </row>
    <row r="104" spans="1:60" s="21" customFormat="1" x14ac:dyDescent="0.3">
      <c r="A104" s="183"/>
      <c r="B104" s="183"/>
      <c r="O104" s="147"/>
      <c r="P104" s="182"/>
      <c r="Q104" s="182"/>
      <c r="R104" s="182"/>
      <c r="S104" s="182"/>
      <c r="T104" s="182"/>
      <c r="U104" s="182"/>
      <c r="V104" s="182"/>
      <c r="W104" s="182"/>
      <c r="X104" s="328"/>
      <c r="Y104" s="327" t="s">
        <v>201</v>
      </c>
      <c r="Z104" s="182"/>
      <c r="AA104" s="182"/>
      <c r="AB104" s="182"/>
      <c r="AC104" s="182"/>
      <c r="AD104" s="182"/>
      <c r="AE104" s="182"/>
      <c r="AF104" s="328">
        <f>AF82*Vergleich!AQ8</f>
        <v>66735.322674578318</v>
      </c>
      <c r="AG104" s="402"/>
      <c r="AH104" s="397">
        <f>ROUND(Z82*Vergleich!AR8,)</f>
        <v>362</v>
      </c>
      <c r="AI104" s="403"/>
      <c r="AJ104" s="328">
        <f>AJ82*Vergleich!AQ9</f>
        <v>82777.749644573822</v>
      </c>
      <c r="AK104" s="329"/>
      <c r="AL104" s="395">
        <f>ROUND(Z82*Vergleich!AR9,)</f>
        <v>547</v>
      </c>
      <c r="AM104" s="403"/>
      <c r="AN104" s="182"/>
      <c r="AO104" s="182"/>
      <c r="AP104" s="182"/>
      <c r="AQ104" s="182"/>
      <c r="AR104" s="202"/>
      <c r="AS104" s="202"/>
      <c r="AT104" s="182"/>
      <c r="AU104" s="182"/>
      <c r="AV104" s="202"/>
      <c r="AW104" s="202"/>
      <c r="AX104" s="182"/>
      <c r="AY104" s="182"/>
      <c r="AZ104" s="202"/>
      <c r="BA104" s="202"/>
      <c r="BB104" s="182"/>
      <c r="BC104" s="182"/>
      <c r="BD104" s="182"/>
      <c r="BE104" s="202"/>
      <c r="BF104" s="202"/>
      <c r="BG104" s="203"/>
      <c r="BH104" s="182"/>
    </row>
    <row r="105" spans="1:60" s="21" customFormat="1" x14ac:dyDescent="0.3">
      <c r="A105" s="183"/>
      <c r="B105" s="183"/>
      <c r="M105" s="345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 t="s">
        <v>202</v>
      </c>
      <c r="Z105" s="182"/>
      <c r="AA105" s="182"/>
      <c r="AB105" s="182"/>
      <c r="AC105" s="182"/>
      <c r="AD105" s="182"/>
      <c r="AE105" s="182"/>
      <c r="AF105" s="328">
        <f>AF83*Vergleich!AQ14</f>
        <v>71233.028809864278</v>
      </c>
      <c r="AG105" s="201"/>
      <c r="AH105" s="397">
        <f>ROUND(Z83*Vergleich!AR14,)</f>
        <v>408</v>
      </c>
      <c r="AI105" s="404"/>
      <c r="AJ105" s="328">
        <f>AJ83*Vergleich!AQ15</f>
        <v>91234.045573848722</v>
      </c>
      <c r="AK105" s="201"/>
      <c r="AL105" s="395">
        <f>ROUND(Z83*Vergleich!AR15,)</f>
        <v>614</v>
      </c>
      <c r="AM105" s="404"/>
      <c r="AN105" s="182"/>
      <c r="AO105" s="182"/>
      <c r="AP105" s="275" t="s">
        <v>212</v>
      </c>
      <c r="AQ105" s="413" t="s">
        <v>216</v>
      </c>
      <c r="AR105" s="275" t="s">
        <v>213</v>
      </c>
      <c r="AS105" s="275" t="s">
        <v>217</v>
      </c>
      <c r="AT105" s="275" t="s">
        <v>100</v>
      </c>
      <c r="AU105" s="275" t="s">
        <v>218</v>
      </c>
      <c r="AV105" s="275" t="s">
        <v>209</v>
      </c>
      <c r="AW105" s="275" t="s">
        <v>219</v>
      </c>
      <c r="AX105" s="275" t="s">
        <v>210</v>
      </c>
      <c r="AY105" s="411" t="s">
        <v>220</v>
      </c>
      <c r="AZ105" s="275" t="s">
        <v>211</v>
      </c>
      <c r="BA105" s="411" t="s">
        <v>221</v>
      </c>
      <c r="BB105" s="182"/>
      <c r="BC105" s="275" t="s">
        <v>214</v>
      </c>
      <c r="BD105" s="409" t="s">
        <v>222</v>
      </c>
      <c r="BE105" s="275" t="s">
        <v>215</v>
      </c>
      <c r="BF105" s="409" t="s">
        <v>223</v>
      </c>
      <c r="BG105" s="203"/>
      <c r="BH105" s="182"/>
    </row>
    <row r="106" spans="1:60" s="21" customFormat="1" x14ac:dyDescent="0.3">
      <c r="A106" s="183"/>
      <c r="B106" s="183"/>
      <c r="M106" s="345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 t="s">
        <v>228</v>
      </c>
      <c r="Z106" s="182"/>
      <c r="AA106" s="182"/>
      <c r="AB106" s="182"/>
      <c r="AC106" s="202"/>
      <c r="AD106" s="182"/>
      <c r="AE106" s="182"/>
      <c r="AF106" s="328">
        <f>AF84*Vergleich!AQ19</f>
        <v>75708.511209771823</v>
      </c>
      <c r="AG106" s="201"/>
      <c r="AH106" s="397">
        <f>ROUND(Z84*Vergleich!AR19,)</f>
        <v>429</v>
      </c>
      <c r="AI106" s="404"/>
      <c r="AJ106" s="328">
        <f>AJ84*Vergleich!AQ20</f>
        <v>97609.397702840331</v>
      </c>
      <c r="AK106" s="201"/>
      <c r="AL106" s="395">
        <f>ROUND(Z84*Vergleich!AR20,)</f>
        <v>625</v>
      </c>
      <c r="AM106" s="201"/>
      <c r="AN106" s="182"/>
      <c r="AO106" s="182">
        <v>4</v>
      </c>
      <c r="AP106" s="243">
        <f>AP85/SUM(AP$85:AP$102)</f>
        <v>4.2563773463821591E-2</v>
      </c>
      <c r="AQ106" s="414">
        <f>AP106</f>
        <v>4.2563773463821591E-2</v>
      </c>
      <c r="AR106" s="243">
        <f>AR85/SUM(AR$85:AR$102)</f>
        <v>4.790419161676647E-2</v>
      </c>
      <c r="AS106" s="243">
        <f>AR106</f>
        <v>4.790419161676647E-2</v>
      </c>
      <c r="AT106" s="243">
        <f>AT85/SUM(AT$85:AT$102)</f>
        <v>3.4380283855100682E-2</v>
      </c>
      <c r="AU106" s="243">
        <f>AT106</f>
        <v>3.4380283855100682E-2</v>
      </c>
      <c r="AV106" s="243">
        <f>AV85/SUM(AV$85:AV$102)</f>
        <v>3.9408866995073892E-2</v>
      </c>
      <c r="AW106" s="243">
        <f>AV106</f>
        <v>3.9408866995073892E-2</v>
      </c>
      <c r="AX106" s="243">
        <f>AX85/SUM(AX$85:AX$102)</f>
        <v>5.1971879286694098E-2</v>
      </c>
      <c r="AY106" s="412">
        <f>AX106</f>
        <v>5.1971879286694098E-2</v>
      </c>
      <c r="AZ106" s="243">
        <f>AZ85/SUM(AZ$85:AZ$102)</f>
        <v>4.3233082706766915E-2</v>
      </c>
      <c r="BA106" s="412">
        <f>AZ106</f>
        <v>4.3233082706766915E-2</v>
      </c>
      <c r="BB106" s="182"/>
      <c r="BC106" s="243">
        <f>BC85/SUM(BC$85:BC$102)</f>
        <v>3.9480949751518474E-2</v>
      </c>
      <c r="BD106" s="410">
        <f>BC106</f>
        <v>3.9480949751518474E-2</v>
      </c>
      <c r="BE106" s="243">
        <f>BE85/SUM(BE$85:BE$102)</f>
        <v>3.9682539682539694E-2</v>
      </c>
      <c r="BF106" s="410">
        <f>BE106</f>
        <v>3.9682539682539694E-2</v>
      </c>
      <c r="BG106" s="203"/>
      <c r="BH106" s="243">
        <f t="shared" ref="BH106:BH123" si="51">BH84/SUM($AP$84:$AP$102)</f>
        <v>0</v>
      </c>
    </row>
    <row r="107" spans="1:60" s="21" customFormat="1" x14ac:dyDescent="0.3">
      <c r="A107" s="183"/>
      <c r="B107" s="183"/>
      <c r="M107" s="345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 t="s">
        <v>237</v>
      </c>
      <c r="Z107" s="416">
        <f>ROUND(AVERAGE(AH107,AL107),)</f>
        <v>494</v>
      </c>
      <c r="AA107" s="182"/>
      <c r="AB107" s="182"/>
      <c r="AC107" s="202"/>
      <c r="AD107" s="182"/>
      <c r="AE107" s="182"/>
      <c r="AF107" s="328">
        <f>MIN(AF104:AF106)</f>
        <v>66735.322674578318</v>
      </c>
      <c r="AG107" s="201"/>
      <c r="AH107" s="415">
        <f>MIN(AH104:AH106)</f>
        <v>362</v>
      </c>
      <c r="AI107" s="201"/>
      <c r="AJ107" s="328">
        <f>MAX(AJ104:AJ106)</f>
        <v>97609.397702840331</v>
      </c>
      <c r="AK107" s="201"/>
      <c r="AL107" s="415">
        <f>MAX(AL104:AL106)</f>
        <v>625</v>
      </c>
      <c r="AM107" s="201"/>
      <c r="AN107" s="182"/>
      <c r="AO107" s="182">
        <v>5</v>
      </c>
      <c r="AP107" s="243">
        <f t="shared" ref="AP107:AR123" si="52">AP86/SUM(AP$85:AP$102)</f>
        <v>3.6852238087598264E-2</v>
      </c>
      <c r="AQ107" s="414">
        <f>AQ106+AP107</f>
        <v>7.9416011551419863E-2</v>
      </c>
      <c r="AR107" s="243">
        <f t="shared" si="52"/>
        <v>3.8922155688622756E-2</v>
      </c>
      <c r="AS107" s="243">
        <f>AS106+AR107</f>
        <v>8.6826347305389226E-2</v>
      </c>
      <c r="AT107" s="243">
        <f t="shared" ref="AT107" si="53">AT86/SUM(AT$85:AT$102)</f>
        <v>3.5943024030332532E-2</v>
      </c>
      <c r="AU107" s="243">
        <f>AU106+AT107</f>
        <v>7.0323307885433214E-2</v>
      </c>
      <c r="AV107" s="243">
        <f t="shared" ref="AV107" si="54">AV86/SUM(AV$85:AV$102)</f>
        <v>3.9408866995073892E-2</v>
      </c>
      <c r="AW107" s="243">
        <f>AW106+AV107</f>
        <v>7.8817733990147784E-2</v>
      </c>
      <c r="AX107" s="243">
        <f t="shared" ref="AX107" si="55">AX86/SUM(AX$85:AX$102)</f>
        <v>2.7023319615912211E-2</v>
      </c>
      <c r="AY107" s="412">
        <f>AY106+AX107</f>
        <v>7.8995198902606312E-2</v>
      </c>
      <c r="AZ107" s="243">
        <f t="shared" ref="AZ107" si="56">AZ86/SUM(AZ$85:AZ$102)</f>
        <v>3.1954887218045111E-2</v>
      </c>
      <c r="BA107" s="412">
        <f>BA106+AZ107</f>
        <v>7.5187969924812026E-2</v>
      </c>
      <c r="BB107" s="182"/>
      <c r="BC107" s="243">
        <f t="shared" ref="BC107" si="57">BC86/SUM(BC$85:BC$102)</f>
        <v>2.9656727406589346E-2</v>
      </c>
      <c r="BD107" s="410">
        <f>BD106+BC107</f>
        <v>6.9137677158107813E-2</v>
      </c>
      <c r="BE107" s="243">
        <f t="shared" ref="BE107" si="58">BE86/SUM(BE$85:BE$102)</f>
        <v>2.3809523809523846E-2</v>
      </c>
      <c r="BF107" s="410">
        <f>BF106+BE107</f>
        <v>6.3492063492063544E-2</v>
      </c>
      <c r="BG107" s="203"/>
      <c r="BH107" s="243">
        <f t="shared" si="51"/>
        <v>0</v>
      </c>
    </row>
    <row r="108" spans="1:60" s="21" customFormat="1" x14ac:dyDescent="0.3">
      <c r="A108" s="183"/>
      <c r="B108" s="183"/>
      <c r="M108" s="345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286"/>
      <c r="AA108" s="286"/>
      <c r="AB108" s="286"/>
      <c r="AC108" s="286"/>
      <c r="AD108" s="182"/>
      <c r="AE108" s="182"/>
      <c r="AF108" s="182"/>
      <c r="AG108" s="201"/>
      <c r="AH108" s="182"/>
      <c r="AI108" s="201"/>
      <c r="AJ108" s="289"/>
      <c r="AK108" s="399"/>
      <c r="AL108" s="182"/>
      <c r="AM108" s="201"/>
      <c r="AN108" s="286"/>
      <c r="AO108" s="182">
        <v>6</v>
      </c>
      <c r="AP108" s="243">
        <f t="shared" si="52"/>
        <v>7.7972084068666778E-2</v>
      </c>
      <c r="AQ108" s="414">
        <f t="shared" ref="AQ108:BA123" si="59">AQ107+AP108</f>
        <v>0.15738809562008665</v>
      </c>
      <c r="AR108" s="243">
        <f t="shared" si="52"/>
        <v>8.6826347305389226E-2</v>
      </c>
      <c r="AS108" s="243">
        <f t="shared" si="59"/>
        <v>0.17365269461077845</v>
      </c>
      <c r="AT108" s="243">
        <f t="shared" ref="AT108" si="60">AT87/SUM(AT$85:AT$102)</f>
        <v>3.9273453911974177E-2</v>
      </c>
      <c r="AU108" s="243">
        <f t="shared" si="59"/>
        <v>0.10959676179740739</v>
      </c>
      <c r="AV108" s="243">
        <f t="shared" ref="AV108" si="61">AV87/SUM(AV$85:AV$102)</f>
        <v>3.4482758620689655E-2</v>
      </c>
      <c r="AW108" s="243">
        <f t="shared" si="59"/>
        <v>0.11330049261083744</v>
      </c>
      <c r="AX108" s="243">
        <f t="shared" ref="AX108" si="62">AX87/SUM(AX$85:AX$102)</f>
        <v>1.7429698216735255E-2</v>
      </c>
      <c r="AY108" s="412">
        <f t="shared" si="59"/>
        <v>9.6424897119341574E-2</v>
      </c>
      <c r="AZ108" s="243">
        <f t="shared" ref="AZ108" si="63">AZ87/SUM(AZ$85:AZ$102)</f>
        <v>1.8796992481203006E-2</v>
      </c>
      <c r="BA108" s="412">
        <f t="shared" si="59"/>
        <v>9.3984962406015032E-2</v>
      </c>
      <c r="BB108" s="182"/>
      <c r="BC108" s="243">
        <f t="shared" ref="BC108" si="64">BC87/SUM(BC$85:BC$102)</f>
        <v>1.5760169335542078E-2</v>
      </c>
      <c r="BD108" s="410">
        <f t="shared" ref="BD108:BD123" si="65">BD107+BC108</f>
        <v>8.4897846493649898E-2</v>
      </c>
      <c r="BE108" s="243">
        <f t="shared" ref="BE108" si="66">BE87/SUM(BE$85:BE$102)</f>
        <v>1.5873015873015848E-2</v>
      </c>
      <c r="BF108" s="410">
        <f t="shared" ref="BF108:BF123" si="67">BF107+BE108</f>
        <v>7.9365079365079388E-2</v>
      </c>
      <c r="BG108" s="203"/>
      <c r="BH108" s="243">
        <f t="shared" si="51"/>
        <v>0</v>
      </c>
    </row>
    <row r="109" spans="1:60" s="21" customFormat="1" x14ac:dyDescent="0.3">
      <c r="A109" s="183"/>
      <c r="B109" s="183"/>
      <c r="M109" s="345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286"/>
      <c r="AA109" s="286"/>
      <c r="AB109" s="286"/>
      <c r="AC109" s="286"/>
      <c r="AD109" s="182"/>
      <c r="AE109" s="182"/>
      <c r="AF109" s="182"/>
      <c r="AG109" s="201"/>
      <c r="AH109" s="182"/>
      <c r="AI109" s="201"/>
      <c r="AJ109" s="286"/>
      <c r="AK109" s="399"/>
      <c r="AL109" s="182"/>
      <c r="AM109" s="201"/>
      <c r="AN109" s="286"/>
      <c r="AO109" s="182">
        <v>7</v>
      </c>
      <c r="AP109" s="243">
        <f t="shared" si="52"/>
        <v>4.3991657307877421E-2</v>
      </c>
      <c r="AQ109" s="414">
        <f t="shared" si="59"/>
        <v>0.20137975292796406</v>
      </c>
      <c r="AR109" s="243">
        <f t="shared" si="52"/>
        <v>4.790419161676647E-2</v>
      </c>
      <c r="AS109" s="243">
        <f t="shared" si="59"/>
        <v>0.22155688622754494</v>
      </c>
      <c r="AT109" s="243">
        <f t="shared" ref="AT109" si="68">AT88/SUM(AT$85:AT$102)</f>
        <v>2.7565711943433935E-2</v>
      </c>
      <c r="AU109" s="243">
        <f t="shared" si="59"/>
        <v>0.13716247374084134</v>
      </c>
      <c r="AV109" s="243">
        <f t="shared" ref="AV109" si="69">AV88/SUM(AV$85:AV$102)</f>
        <v>3.4482758620689655E-2</v>
      </c>
      <c r="AW109" s="243">
        <f t="shared" si="59"/>
        <v>0.14778325123152708</v>
      </c>
      <c r="AX109" s="243">
        <f t="shared" ref="AX109" si="70">AX88/SUM(AX$85:AX$102)</f>
        <v>3.8365912208504799E-2</v>
      </c>
      <c r="AY109" s="412">
        <f t="shared" si="59"/>
        <v>0.13479080932784637</v>
      </c>
      <c r="AZ109" s="243">
        <f t="shared" ref="AZ109" si="71">AZ88/SUM(AZ$85:AZ$102)</f>
        <v>3.9473684210526314E-2</v>
      </c>
      <c r="BA109" s="412">
        <f t="shared" si="59"/>
        <v>0.13345864661654133</v>
      </c>
      <c r="BB109" s="182"/>
      <c r="BC109" s="243">
        <f t="shared" ref="BC109" si="72">BC88/SUM(BC$85:BC$102)</f>
        <v>3.7019142278667358E-2</v>
      </c>
      <c r="BD109" s="410">
        <f t="shared" si="65"/>
        <v>0.12191698877231726</v>
      </c>
      <c r="BE109" s="243">
        <f t="shared" ref="BE109" si="73">BE88/SUM(BE$85:BE$102)</f>
        <v>3.5714285714285733E-2</v>
      </c>
      <c r="BF109" s="410">
        <f t="shared" si="67"/>
        <v>0.11507936507936511</v>
      </c>
      <c r="BG109" s="203"/>
      <c r="BH109" s="243">
        <f t="shared" si="51"/>
        <v>0</v>
      </c>
    </row>
    <row r="110" spans="1:60" s="21" customFormat="1" x14ac:dyDescent="0.3">
      <c r="A110" s="183"/>
      <c r="B110" s="183"/>
      <c r="M110" s="345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286"/>
      <c r="AA110" s="286"/>
      <c r="AB110" s="286"/>
      <c r="AC110" s="286"/>
      <c r="AD110" s="182"/>
      <c r="AE110" s="182"/>
      <c r="AF110" s="182"/>
      <c r="AG110" s="201"/>
      <c r="AH110" s="182"/>
      <c r="AI110" s="201"/>
      <c r="AJ110" s="290"/>
      <c r="AK110" s="399"/>
      <c r="AL110" s="182"/>
      <c r="AM110" s="201"/>
      <c r="AN110" s="286"/>
      <c r="AO110" s="182">
        <v>8</v>
      </c>
      <c r="AP110" s="243">
        <f t="shared" si="52"/>
        <v>5.6842611904379906E-2</v>
      </c>
      <c r="AQ110" s="414">
        <f t="shared" si="59"/>
        <v>0.25822236483234395</v>
      </c>
      <c r="AR110" s="243">
        <f t="shared" si="52"/>
        <v>5.0898203592814377E-2</v>
      </c>
      <c r="AS110" s="243">
        <f t="shared" si="59"/>
        <v>0.27245508982035932</v>
      </c>
      <c r="AT110" s="243">
        <f t="shared" ref="AT110" si="74">AT89/SUM(AT$85:AT$102)</f>
        <v>3.6045498795921511E-2</v>
      </c>
      <c r="AU110" s="243">
        <f t="shared" si="59"/>
        <v>0.17320797253676284</v>
      </c>
      <c r="AV110" s="243">
        <f t="shared" ref="AV110" si="75">AV89/SUM(AV$85:AV$102)</f>
        <v>4.1871921182266007E-2</v>
      </c>
      <c r="AW110" s="243">
        <f t="shared" si="59"/>
        <v>0.18965517241379309</v>
      </c>
      <c r="AX110" s="243">
        <f t="shared" ref="AX110" si="76">AX89/SUM(AX$85:AX$102)</f>
        <v>2.709190672153635E-2</v>
      </c>
      <c r="AY110" s="412">
        <f t="shared" si="59"/>
        <v>0.16188271604938273</v>
      </c>
      <c r="AZ110" s="243">
        <f t="shared" ref="AZ110" si="77">AZ89/SUM(AZ$85:AZ$102)</f>
        <v>2.4436090225563908E-2</v>
      </c>
      <c r="BA110" s="412">
        <f t="shared" si="59"/>
        <v>0.15789473684210525</v>
      </c>
      <c r="BB110" s="182"/>
      <c r="BC110" s="243">
        <f t="shared" ref="BC110" si="78">BC89/SUM(BC$85:BC$102)</f>
        <v>5.7495858641634451E-2</v>
      </c>
      <c r="BD110" s="410">
        <f t="shared" si="65"/>
        <v>0.17941284741395169</v>
      </c>
      <c r="BE110" s="243">
        <f t="shared" ref="BE110" si="79">BE89/SUM(BE$85:BE$102)</f>
        <v>4.7619047619047616E-2</v>
      </c>
      <c r="BF110" s="410">
        <f t="shared" si="67"/>
        <v>0.16269841269841273</v>
      </c>
      <c r="BG110" s="203"/>
      <c r="BH110" s="243">
        <f t="shared" si="51"/>
        <v>0</v>
      </c>
    </row>
    <row r="111" spans="1:60" s="21" customFormat="1" x14ac:dyDescent="0.3">
      <c r="A111" s="183"/>
      <c r="B111" s="183"/>
      <c r="M111" s="345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201"/>
      <c r="AH111" s="182"/>
      <c r="AI111" s="201"/>
      <c r="AJ111" s="182"/>
      <c r="AK111" s="201"/>
      <c r="AL111" s="182"/>
      <c r="AM111" s="201"/>
      <c r="AN111" s="182"/>
      <c r="AO111" s="182">
        <v>9</v>
      </c>
      <c r="AP111" s="243">
        <f t="shared" si="52"/>
        <v>3.5376223327450662E-2</v>
      </c>
      <c r="AQ111" s="414">
        <f t="shared" si="59"/>
        <v>0.29359858815979462</v>
      </c>
      <c r="AR111" s="243">
        <f t="shared" si="52"/>
        <v>4.1916167664670663E-2</v>
      </c>
      <c r="AS111" s="243">
        <f t="shared" si="59"/>
        <v>0.31437125748502998</v>
      </c>
      <c r="AT111" s="243">
        <f t="shared" ref="AT111" si="80">AT90/SUM(AT$85:AT$102)</f>
        <v>5.7706102372290825E-2</v>
      </c>
      <c r="AU111" s="243">
        <f t="shared" si="59"/>
        <v>0.23091407490905366</v>
      </c>
      <c r="AV111" s="243">
        <f t="shared" ref="AV111" si="81">AV90/SUM(AV$85:AV$102)</f>
        <v>6.157635467980295E-2</v>
      </c>
      <c r="AW111" s="243">
        <f t="shared" si="59"/>
        <v>0.25123152709359603</v>
      </c>
      <c r="AX111" s="243">
        <f t="shared" ref="AX111" si="82">AX90/SUM(AX$85:AX$102)</f>
        <v>3.2698902606310011E-2</v>
      </c>
      <c r="AY111" s="412">
        <f t="shared" si="59"/>
        <v>0.19458161865569273</v>
      </c>
      <c r="AZ111" s="243">
        <f t="shared" ref="AZ111" si="83">AZ90/SUM(AZ$85:AZ$102)</f>
        <v>3.9473684210526314E-2</v>
      </c>
      <c r="BA111" s="412">
        <f t="shared" si="59"/>
        <v>0.19736842105263158</v>
      </c>
      <c r="BB111" s="182"/>
      <c r="BC111" s="243">
        <f t="shared" ref="BC111" si="84">BC90/SUM(BC$85:BC$102)</f>
        <v>2.7355972759065032E-2</v>
      </c>
      <c r="BD111" s="410">
        <f t="shared" si="65"/>
        <v>0.20676882017301673</v>
      </c>
      <c r="BE111" s="243">
        <f t="shared" ref="BE111" si="85">BE90/SUM(BE$85:BE$102)</f>
        <v>2.3809523809523846E-2</v>
      </c>
      <c r="BF111" s="410">
        <f t="shared" si="67"/>
        <v>0.18650793650793657</v>
      </c>
      <c r="BG111" s="203"/>
      <c r="BH111" s="243">
        <f t="shared" si="51"/>
        <v>0</v>
      </c>
    </row>
    <row r="112" spans="1:60" s="21" customFormat="1" hidden="1" outlineLevel="1" x14ac:dyDescent="0.3">
      <c r="A112" s="183"/>
      <c r="B112" s="183"/>
      <c r="D112" s="143"/>
      <c r="G112" s="107"/>
      <c r="H112" s="107"/>
      <c r="I112" s="107"/>
      <c r="J112" s="107"/>
      <c r="K112" s="107"/>
      <c r="L112" s="107"/>
      <c r="M112" s="334"/>
      <c r="N112" s="116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202"/>
      <c r="AD112" s="182"/>
      <c r="AE112" s="182"/>
      <c r="AF112" s="182"/>
      <c r="AG112" s="201"/>
      <c r="AH112" s="201"/>
      <c r="AI112" s="201"/>
      <c r="AJ112" s="182"/>
      <c r="AK112" s="201"/>
      <c r="AL112" s="201"/>
      <c r="AM112" s="201"/>
      <c r="AN112" s="182"/>
      <c r="AO112" s="182">
        <v>10</v>
      </c>
      <c r="AP112" s="243">
        <f t="shared" si="52"/>
        <v>4.6237766725493346E-2</v>
      </c>
      <c r="AQ112" s="414">
        <f t="shared" si="59"/>
        <v>0.33983635488528796</v>
      </c>
      <c r="AR112" s="243">
        <f t="shared" si="52"/>
        <v>4.4910179640718563E-2</v>
      </c>
      <c r="AS112" s="243">
        <f t="shared" si="59"/>
        <v>0.35928143712574856</v>
      </c>
      <c r="AT112" s="243">
        <f t="shared" ref="AT112" si="86">AT91/SUM(AT$85:AT$102)</f>
        <v>4.2911308090382745E-2</v>
      </c>
      <c r="AU112" s="243">
        <f t="shared" si="59"/>
        <v>0.27382538299943643</v>
      </c>
      <c r="AV112" s="243">
        <f t="shared" ref="AV112" si="87">AV91/SUM(AV$85:AV$102)</f>
        <v>4.6798029556650245E-2</v>
      </c>
      <c r="AW112" s="243">
        <f t="shared" si="59"/>
        <v>0.29802955665024627</v>
      </c>
      <c r="AX112" s="243">
        <f t="shared" ref="AX112" si="88">AX91/SUM(AX$85:AX$102)</f>
        <v>4.0552126200274347E-2</v>
      </c>
      <c r="AY112" s="412">
        <f t="shared" si="59"/>
        <v>0.23513374485596708</v>
      </c>
      <c r="AZ112" s="243">
        <f t="shared" ref="AZ112" si="89">AZ91/SUM(AZ$85:AZ$102)</f>
        <v>3.9473684210526314E-2</v>
      </c>
      <c r="BA112" s="412">
        <f t="shared" si="59"/>
        <v>0.23684210526315791</v>
      </c>
      <c r="BB112" s="182"/>
      <c r="BC112" s="243">
        <f t="shared" ref="BC112" si="90">BC91/SUM(BC$85:BC$102)</f>
        <v>8.5565065341432017E-2</v>
      </c>
      <c r="BD112" s="410">
        <f t="shared" si="65"/>
        <v>0.29233388551444872</v>
      </c>
      <c r="BE112" s="243">
        <f t="shared" ref="BE112" si="91">BE91/SUM(BE$85:BE$102)</f>
        <v>7.5396825396825351E-2</v>
      </c>
      <c r="BF112" s="410">
        <f t="shared" si="67"/>
        <v>0.26190476190476192</v>
      </c>
      <c r="BG112" s="203"/>
      <c r="BH112" s="243">
        <f t="shared" si="51"/>
        <v>0</v>
      </c>
    </row>
    <row r="113" spans="1:60" s="21" customFormat="1" ht="17.25" hidden="1" outlineLevel="1" thickBot="1" x14ac:dyDescent="0.35">
      <c r="A113" s="183"/>
      <c r="B113" s="183"/>
      <c r="D113" s="125"/>
      <c r="G113" s="107"/>
      <c r="H113" s="107"/>
      <c r="I113" s="107"/>
      <c r="J113" s="107"/>
      <c r="K113" s="107"/>
      <c r="L113" s="107"/>
      <c r="M113" s="334"/>
      <c r="N113" s="116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202"/>
      <c r="AD113" s="182"/>
      <c r="AE113" s="182"/>
      <c r="AF113" s="182"/>
      <c r="AG113" s="201"/>
      <c r="AH113" s="201"/>
      <c r="AI113" s="201"/>
      <c r="AJ113" s="182"/>
      <c r="AK113" s="201"/>
      <c r="AL113" s="201"/>
      <c r="AM113" s="201"/>
      <c r="AN113" s="182"/>
      <c r="AO113" s="182">
        <v>11</v>
      </c>
      <c r="AP113" s="243">
        <f t="shared" si="52"/>
        <v>2.2958446975774104E-2</v>
      </c>
      <c r="AQ113" s="414">
        <f t="shared" si="59"/>
        <v>0.36279480186106206</v>
      </c>
      <c r="AR113" s="243">
        <f t="shared" si="52"/>
        <v>2.6946107784431138E-2</v>
      </c>
      <c r="AS113" s="243">
        <f t="shared" si="59"/>
        <v>0.38622754491017969</v>
      </c>
      <c r="AT113" s="243">
        <f t="shared" ref="AT113" si="92">AT92/SUM(AT$85:AT$102)</f>
        <v>3.8658605318440335E-2</v>
      </c>
      <c r="AU113" s="243">
        <f t="shared" si="59"/>
        <v>0.31248398831787677</v>
      </c>
      <c r="AV113" s="243">
        <f t="shared" ref="AV113" si="93">AV92/SUM(AV$85:AV$102)</f>
        <v>4.1871921182266007E-2</v>
      </c>
      <c r="AW113" s="243">
        <f t="shared" si="59"/>
        <v>0.33990147783251229</v>
      </c>
      <c r="AX113" s="243">
        <f t="shared" ref="AX113" si="94">AX92/SUM(AX$85:AX$102)</f>
        <v>1.4874828532235939E-2</v>
      </c>
      <c r="AY113" s="412">
        <f t="shared" si="59"/>
        <v>0.25000857338820304</v>
      </c>
      <c r="AZ113" s="243">
        <f t="shared" ref="AZ113" si="95">AZ92/SUM(AZ$85:AZ$102)</f>
        <v>1.1278195488721804E-2</v>
      </c>
      <c r="BA113" s="412">
        <f t="shared" si="59"/>
        <v>0.24812030075187971</v>
      </c>
      <c r="BB113" s="182"/>
      <c r="BC113" s="243">
        <f t="shared" ref="BC113" si="96">BC92/SUM(BC$85:BC$102)</f>
        <v>7.1691514816859842E-2</v>
      </c>
      <c r="BD113" s="410">
        <f t="shared" si="65"/>
        <v>0.36402540033130859</v>
      </c>
      <c r="BE113" s="243">
        <f t="shared" ref="BE113" si="97">BE92/SUM(BE$85:BE$102)</f>
        <v>6.7460317460317498E-2</v>
      </c>
      <c r="BF113" s="410">
        <f t="shared" si="67"/>
        <v>0.32936507936507942</v>
      </c>
      <c r="BG113" s="203"/>
      <c r="BH113" s="243">
        <f t="shared" si="51"/>
        <v>0</v>
      </c>
    </row>
    <row r="114" spans="1:60" s="21" customFormat="1" ht="17.25" hidden="1" outlineLevel="1" thickBot="1" x14ac:dyDescent="0.35">
      <c r="A114" s="183"/>
      <c r="B114" s="183"/>
      <c r="D114" s="156" t="s">
        <v>13</v>
      </c>
      <c r="G114" s="107"/>
      <c r="H114" s="107"/>
      <c r="I114" s="107"/>
      <c r="J114" s="107"/>
      <c r="K114" s="107"/>
      <c r="L114" s="107"/>
      <c r="M114" s="334"/>
      <c r="N114" s="116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202"/>
      <c r="AD114" s="182"/>
      <c r="AE114" s="182"/>
      <c r="AF114" s="182"/>
      <c r="AG114" s="201"/>
      <c r="AH114" s="201"/>
      <c r="AI114" s="201"/>
      <c r="AJ114" s="182"/>
      <c r="AK114" s="201"/>
      <c r="AL114" s="201"/>
      <c r="AM114" s="201"/>
      <c r="AN114" s="182"/>
      <c r="AO114" s="182">
        <v>12</v>
      </c>
      <c r="AP114" s="243">
        <f t="shared" si="52"/>
        <v>6.3115674635007224E-2</v>
      </c>
      <c r="AQ114" s="414">
        <f t="shared" si="59"/>
        <v>0.42591047649606928</v>
      </c>
      <c r="AR114" s="243">
        <f t="shared" si="52"/>
        <v>5.9880239520958091E-2</v>
      </c>
      <c r="AS114" s="243">
        <f t="shared" si="59"/>
        <v>0.4461077844311378</v>
      </c>
      <c r="AT114" s="243">
        <f t="shared" ref="AT114" si="98">AT93/SUM(AT$85:AT$102)</f>
        <v>2.0725521340369937E-2</v>
      </c>
      <c r="AU114" s="243">
        <f t="shared" si="59"/>
        <v>0.33320950965824669</v>
      </c>
      <c r="AV114" s="243">
        <f t="shared" ref="AV114" si="99">AV93/SUM(AV$85:AV$102)</f>
        <v>2.2167487684729065E-2</v>
      </c>
      <c r="AW114" s="243">
        <f t="shared" si="59"/>
        <v>0.36206896551724133</v>
      </c>
      <c r="AX114" s="243">
        <f t="shared" ref="AX114" si="100">AX93/SUM(AX$85:AX$102)</f>
        <v>2.650891632373114E-2</v>
      </c>
      <c r="AY114" s="412">
        <f t="shared" si="59"/>
        <v>0.27651748971193418</v>
      </c>
      <c r="AZ114" s="243">
        <f t="shared" ref="AZ114" si="101">AZ93/SUM(AZ$85:AZ$102)</f>
        <v>2.819548872180451E-2</v>
      </c>
      <c r="BA114" s="412">
        <f t="shared" si="59"/>
        <v>0.27631578947368424</v>
      </c>
      <c r="BB114" s="182"/>
      <c r="BC114" s="243">
        <f t="shared" ref="BC114" si="102">BC93/SUM(BC$85:BC$102)</f>
        <v>5.2526228602981895E-2</v>
      </c>
      <c r="BD114" s="410">
        <f t="shared" si="65"/>
        <v>0.41655162893429049</v>
      </c>
      <c r="BE114" s="243">
        <f t="shared" ref="BE114" si="103">BE93/SUM(BE$85:BE$102)</f>
        <v>5.95238095238095E-2</v>
      </c>
      <c r="BF114" s="410">
        <f t="shared" si="67"/>
        <v>0.3888888888888889</v>
      </c>
      <c r="BG114" s="203"/>
      <c r="BH114" s="243">
        <f t="shared" si="51"/>
        <v>0</v>
      </c>
    </row>
    <row r="115" spans="1:60" s="21" customFormat="1" ht="17.25" hidden="1" outlineLevel="1" thickBot="1" x14ac:dyDescent="0.35">
      <c r="A115" s="183"/>
      <c r="B115" s="183"/>
      <c r="D115" s="156"/>
      <c r="G115" s="107"/>
      <c r="H115" s="107"/>
      <c r="I115" s="107"/>
      <c r="J115" s="107"/>
      <c r="K115" s="107"/>
      <c r="L115" s="107"/>
      <c r="M115" s="334"/>
      <c r="N115" s="116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202"/>
      <c r="AD115" s="182"/>
      <c r="AE115" s="182"/>
      <c r="AF115" s="182"/>
      <c r="AG115" s="201"/>
      <c r="AH115" s="201"/>
      <c r="AI115" s="201"/>
      <c r="AJ115" s="182"/>
      <c r="AK115" s="201"/>
      <c r="AL115" s="201"/>
      <c r="AM115" s="201"/>
      <c r="AN115" s="182"/>
      <c r="AO115" s="182">
        <v>13</v>
      </c>
      <c r="AP115" s="243">
        <f t="shared" si="52"/>
        <v>2.1931654099149687E-2</v>
      </c>
      <c r="AQ115" s="414">
        <f t="shared" si="59"/>
        <v>0.44784213059521899</v>
      </c>
      <c r="AR115" s="243">
        <f t="shared" si="52"/>
        <v>2.3952095808383235E-2</v>
      </c>
      <c r="AS115" s="243">
        <f t="shared" si="59"/>
        <v>0.47005988023952106</v>
      </c>
      <c r="AT115" s="243">
        <f t="shared" ref="AT115" si="104">AT94/SUM(AT$85:AT$102)</f>
        <v>3.5776502536250449E-2</v>
      </c>
      <c r="AU115" s="243">
        <f t="shared" si="59"/>
        <v>0.36898601219449711</v>
      </c>
      <c r="AV115" s="243">
        <f t="shared" ref="AV115" si="105">AV94/SUM(AV$85:AV$102)</f>
        <v>3.6945812807881777E-2</v>
      </c>
      <c r="AW115" s="243">
        <f t="shared" si="59"/>
        <v>0.39901477832512311</v>
      </c>
      <c r="AX115" s="243">
        <f t="shared" ref="AX115" si="106">AX94/SUM(AX$85:AX$102)</f>
        <v>2.4931412894375858E-2</v>
      </c>
      <c r="AY115" s="412">
        <f t="shared" si="59"/>
        <v>0.30144890260631002</v>
      </c>
      <c r="AZ115" s="243">
        <f t="shared" ref="AZ115" si="107">AZ94/SUM(AZ$85:AZ$102)</f>
        <v>2.819548872180451E-2</v>
      </c>
      <c r="BA115" s="412">
        <f t="shared" si="59"/>
        <v>0.30451127819548873</v>
      </c>
      <c r="BB115" s="182"/>
      <c r="BC115" s="243">
        <f t="shared" ref="BC115" si="108">BC94/SUM(BC$85:BC$102)</f>
        <v>1.651941836922502E-2</v>
      </c>
      <c r="BD115" s="410">
        <f t="shared" si="65"/>
        <v>0.43307104730351553</v>
      </c>
      <c r="BE115" s="243">
        <f t="shared" ref="BE115" si="109">BE94/SUM(BE$85:BE$102)</f>
        <v>1.5873015873015848E-2</v>
      </c>
      <c r="BF115" s="410">
        <f t="shared" si="67"/>
        <v>0.40476190476190477</v>
      </c>
      <c r="BG115" s="203"/>
      <c r="BH115" s="243">
        <f t="shared" si="51"/>
        <v>0.64601113515585684</v>
      </c>
    </row>
    <row r="116" spans="1:60" s="21" customFormat="1" collapsed="1" x14ac:dyDescent="0.3">
      <c r="A116" s="183"/>
      <c r="B116" s="183"/>
      <c r="D116" s="125"/>
      <c r="G116" s="107"/>
      <c r="H116" s="107"/>
      <c r="I116" s="107"/>
      <c r="J116" s="107"/>
      <c r="K116" s="107"/>
      <c r="L116" s="107"/>
      <c r="M116" s="334"/>
      <c r="N116" s="116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202"/>
      <c r="AD116" s="182"/>
      <c r="AE116" s="182"/>
      <c r="AF116" s="182"/>
      <c r="AG116" s="201"/>
      <c r="AH116" s="201"/>
      <c r="AI116" s="201"/>
      <c r="AJ116" s="182"/>
      <c r="AK116" s="201"/>
      <c r="AL116" s="201"/>
      <c r="AM116" s="201"/>
      <c r="AN116" s="182"/>
      <c r="AO116" s="182">
        <v>14</v>
      </c>
      <c r="AP116" s="243">
        <f t="shared" si="52"/>
        <v>3.3258463019412807E-2</v>
      </c>
      <c r="AQ116" s="414">
        <f t="shared" si="59"/>
        <v>0.48110059361463181</v>
      </c>
      <c r="AR116" s="243">
        <f t="shared" si="52"/>
        <v>3.2934131736526949E-2</v>
      </c>
      <c r="AS116" s="243">
        <f t="shared" si="59"/>
        <v>0.50299401197604798</v>
      </c>
      <c r="AT116" s="243">
        <f t="shared" ref="AT116" si="110">AT95/SUM(AT$85:AT$102)</f>
        <v>1.7062048470564126E-2</v>
      </c>
      <c r="AU116" s="243">
        <f t="shared" si="59"/>
        <v>0.38604806066506125</v>
      </c>
      <c r="AV116" s="243">
        <f t="shared" ref="AV116" si="111">AV95/SUM(AV$85:AV$102)</f>
        <v>1.7241379310344827E-2</v>
      </c>
      <c r="AW116" s="243">
        <f t="shared" si="59"/>
        <v>0.41625615763546792</v>
      </c>
      <c r="AX116" s="243">
        <f t="shared" ref="AX116" si="112">AX95/SUM(AX$85:AX$102)</f>
        <v>3.4696502057613168E-2</v>
      </c>
      <c r="AY116" s="412">
        <f t="shared" si="59"/>
        <v>0.33614540466392318</v>
      </c>
      <c r="AZ116" s="243">
        <f t="shared" ref="AZ116" si="113">AZ95/SUM(AZ$85:AZ$102)</f>
        <v>3.1954887218045111E-2</v>
      </c>
      <c r="BA116" s="412">
        <f t="shared" si="59"/>
        <v>0.33646616541353386</v>
      </c>
      <c r="BB116" s="182"/>
      <c r="BC116" s="243">
        <f t="shared" ref="BC116" si="114">BC95/SUM(BC$85:BC$102)</f>
        <v>1.9257316399779081E-2</v>
      </c>
      <c r="BD116" s="410">
        <f t="shared" si="65"/>
        <v>0.4523283637032946</v>
      </c>
      <c r="BE116" s="243">
        <f t="shared" ref="BE116" si="115">BE95/SUM(BE$85:BE$102)</f>
        <v>3.1746031746031848E-2</v>
      </c>
      <c r="BF116" s="410">
        <f t="shared" si="67"/>
        <v>0.43650793650793662</v>
      </c>
      <c r="BG116" s="203"/>
      <c r="BH116" s="243">
        <f t="shared" si="51"/>
        <v>0</v>
      </c>
    </row>
    <row r="117" spans="1:60" s="21" customFormat="1" x14ac:dyDescent="0.3">
      <c r="A117" s="183"/>
      <c r="B117" s="183"/>
      <c r="D117" s="125"/>
      <c r="G117" s="107"/>
      <c r="H117" s="107"/>
      <c r="I117" s="107"/>
      <c r="J117" s="107"/>
      <c r="K117" s="107"/>
      <c r="L117" s="107"/>
      <c r="M117" s="334"/>
      <c r="N117" s="116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202"/>
      <c r="AD117" s="182"/>
      <c r="AE117" s="182"/>
      <c r="AF117" s="182"/>
      <c r="AG117" s="201"/>
      <c r="AH117" s="201"/>
      <c r="AI117" s="201"/>
      <c r="AJ117" s="182"/>
      <c r="AK117" s="201"/>
      <c r="AL117" s="201"/>
      <c r="AM117" s="201"/>
      <c r="AN117" s="182"/>
      <c r="AO117" s="182">
        <v>15</v>
      </c>
      <c r="AP117" s="243">
        <f t="shared" si="52"/>
        <v>2.400128349109578E-2</v>
      </c>
      <c r="AQ117" s="414">
        <f t="shared" si="59"/>
        <v>0.50510187710572763</v>
      </c>
      <c r="AR117" s="243">
        <f t="shared" si="52"/>
        <v>2.0958083832335331E-2</v>
      </c>
      <c r="AS117" s="243">
        <f t="shared" si="59"/>
        <v>0.52395209580838331</v>
      </c>
      <c r="AT117" s="243">
        <f t="shared" ref="AT117" si="116">AT96/SUM(AT$85:AT$102)</f>
        <v>2.0558999846287854E-2</v>
      </c>
      <c r="AU117" s="243">
        <f t="shared" si="59"/>
        <v>0.40660706051134909</v>
      </c>
      <c r="AV117" s="243">
        <f t="shared" ref="AV117" si="117">AV96/SUM(AV$85:AV$102)</f>
        <v>2.463054187192118E-2</v>
      </c>
      <c r="AW117" s="243">
        <f t="shared" si="59"/>
        <v>0.44088669950738912</v>
      </c>
      <c r="AX117" s="243">
        <f t="shared" ref="AX117" si="118">AX96/SUM(AX$85:AX$102)</f>
        <v>3.7354252400548696E-2</v>
      </c>
      <c r="AY117" s="412">
        <f t="shared" si="59"/>
        <v>0.37349965706447186</v>
      </c>
      <c r="AZ117" s="243">
        <f t="shared" ref="AZ117" si="119">AZ96/SUM(AZ$85:AZ$102)</f>
        <v>3.5714285714285712E-2</v>
      </c>
      <c r="BA117" s="412">
        <f t="shared" si="59"/>
        <v>0.37218045112781956</v>
      </c>
      <c r="BB117" s="182"/>
      <c r="BC117" s="243">
        <f t="shared" ref="BC117" si="120">BC96/SUM(BC$85:BC$102)</f>
        <v>4.2794036443953673E-2</v>
      </c>
      <c r="BD117" s="410">
        <f t="shared" si="65"/>
        <v>0.49512240014724829</v>
      </c>
      <c r="BE117" s="243">
        <f t="shared" ref="BE117" si="121">BE96/SUM(BE$85:BE$102)</f>
        <v>3.5714285714285733E-2</v>
      </c>
      <c r="BF117" s="410">
        <f t="shared" si="67"/>
        <v>0.47222222222222238</v>
      </c>
      <c r="BG117" s="203"/>
      <c r="BH117" s="243">
        <f t="shared" si="51"/>
        <v>0</v>
      </c>
    </row>
    <row r="118" spans="1:60" s="21" customFormat="1" x14ac:dyDescent="0.3">
      <c r="A118" s="183"/>
      <c r="B118" s="183"/>
      <c r="D118" s="125"/>
      <c r="G118" s="107"/>
      <c r="H118" s="107"/>
      <c r="I118" s="107"/>
      <c r="J118" s="107"/>
      <c r="K118" s="107"/>
      <c r="L118" s="107"/>
      <c r="M118" s="334"/>
      <c r="N118" s="116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202"/>
      <c r="AD118" s="182"/>
      <c r="AE118" s="182"/>
      <c r="AF118" s="182"/>
      <c r="AG118" s="201"/>
      <c r="AH118" s="201"/>
      <c r="AI118" s="201"/>
      <c r="AJ118" s="182"/>
      <c r="AK118" s="201"/>
      <c r="AL118" s="201"/>
      <c r="AM118" s="201"/>
      <c r="AN118" s="182"/>
      <c r="AO118" s="182">
        <v>16</v>
      </c>
      <c r="AP118" s="243">
        <f t="shared" si="52"/>
        <v>4.3125300818225569E-2</v>
      </c>
      <c r="AQ118" s="414">
        <f t="shared" si="59"/>
        <v>0.54822717792395315</v>
      </c>
      <c r="AR118" s="243">
        <f t="shared" si="52"/>
        <v>3.5928143712574856E-2</v>
      </c>
      <c r="AS118" s="243">
        <f t="shared" si="59"/>
        <v>0.55988023952095811</v>
      </c>
      <c r="AT118" s="243">
        <f t="shared" ref="AT118" si="122">AT97/SUM(AT$85:AT$102)</f>
        <v>3.8850745503919662E-2</v>
      </c>
      <c r="AU118" s="243">
        <f t="shared" si="59"/>
        <v>0.44545780601526874</v>
      </c>
      <c r="AV118" s="243">
        <f t="shared" ref="AV118" si="123">AV97/SUM(AV$85:AV$102)</f>
        <v>4.1871921182266007E-2</v>
      </c>
      <c r="AW118" s="243">
        <f t="shared" si="59"/>
        <v>0.48275862068965514</v>
      </c>
      <c r="AX118" s="243">
        <f t="shared" ref="AX118" si="124">AX97/SUM(AX$85:AX$102)</f>
        <v>5.1320301783264743E-2</v>
      </c>
      <c r="AY118" s="412">
        <f t="shared" si="59"/>
        <v>0.4248199588477366</v>
      </c>
      <c r="AZ118" s="243">
        <f t="shared" ref="AZ118" si="125">AZ97/SUM(AZ$85:AZ$102)</f>
        <v>4.3233082706766915E-2</v>
      </c>
      <c r="BA118" s="412">
        <f t="shared" si="59"/>
        <v>0.41541353383458646</v>
      </c>
      <c r="BB118" s="182"/>
      <c r="BC118" s="243">
        <f t="shared" ref="BC118" si="126">BC97/SUM(BC$85:BC$102)</f>
        <v>4.3162157187557601E-2</v>
      </c>
      <c r="BD118" s="410">
        <f t="shared" si="65"/>
        <v>0.53828455733480585</v>
      </c>
      <c r="BE118" s="243">
        <f t="shared" ref="BE118" si="127">BE97/SUM(BE$85:BE$102)</f>
        <v>3.9682539682539618E-2</v>
      </c>
      <c r="BF118" s="410">
        <f t="shared" si="67"/>
        <v>0.51190476190476197</v>
      </c>
      <c r="BG118" s="203"/>
      <c r="BH118" s="243">
        <f t="shared" si="51"/>
        <v>0</v>
      </c>
    </row>
    <row r="119" spans="1:60" s="21" customFormat="1" x14ac:dyDescent="0.3">
      <c r="A119" s="183"/>
      <c r="B119" s="183"/>
      <c r="D119" s="125"/>
      <c r="G119" s="107"/>
      <c r="H119" s="107"/>
      <c r="I119" s="107"/>
      <c r="J119" s="107"/>
      <c r="K119" s="107"/>
      <c r="L119" s="107"/>
      <c r="M119" s="334"/>
      <c r="N119" s="116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202"/>
      <c r="AD119" s="182"/>
      <c r="AE119" s="182"/>
      <c r="AF119" s="182"/>
      <c r="AG119" s="201"/>
      <c r="AH119" s="201"/>
      <c r="AI119" s="201"/>
      <c r="AJ119" s="182"/>
      <c r="AK119" s="201"/>
      <c r="AL119" s="201"/>
      <c r="AM119" s="201"/>
      <c r="AN119" s="182"/>
      <c r="AO119" s="182">
        <v>17</v>
      </c>
      <c r="AP119" s="243">
        <f t="shared" si="52"/>
        <v>3.8761431092571789E-2</v>
      </c>
      <c r="AQ119" s="414">
        <f t="shared" si="59"/>
        <v>0.58698860901652494</v>
      </c>
      <c r="AR119" s="243">
        <f t="shared" si="52"/>
        <v>4.1916167664670663E-2</v>
      </c>
      <c r="AS119" s="243">
        <f t="shared" si="59"/>
        <v>0.60179640718562877</v>
      </c>
      <c r="AT119" s="243">
        <f t="shared" ref="AT119" si="128">AT98/SUM(AT$85:AT$102)</f>
        <v>8.6898601219449714E-2</v>
      </c>
      <c r="AU119" s="243">
        <f t="shared" si="59"/>
        <v>0.53235640723471844</v>
      </c>
      <c r="AV119" s="243">
        <f t="shared" ref="AV119" si="129">AV98/SUM(AV$85:AV$102)</f>
        <v>0.10591133004926108</v>
      </c>
      <c r="AW119" s="243">
        <f t="shared" si="59"/>
        <v>0.58866995073891626</v>
      </c>
      <c r="AX119" s="243">
        <f t="shared" ref="AX119" si="130">AX98/SUM(AX$85:AX$102)</f>
        <v>5.2254801097393687E-2</v>
      </c>
      <c r="AY119" s="412">
        <f t="shared" si="59"/>
        <v>0.47707475994513027</v>
      </c>
      <c r="AZ119" s="243">
        <f t="shared" ref="AZ119" si="131">AZ98/SUM(AZ$85:AZ$102)</f>
        <v>4.8872180451127817E-2</v>
      </c>
      <c r="BA119" s="412">
        <f t="shared" si="59"/>
        <v>0.4642857142857143</v>
      </c>
      <c r="BB119" s="182"/>
      <c r="BC119" s="243">
        <f t="shared" ref="BC119" si="132">BC98/SUM(BC$85:BC$102)</f>
        <v>4.0539296889379607E-2</v>
      </c>
      <c r="BD119" s="410">
        <f t="shared" si="65"/>
        <v>0.57882385422418547</v>
      </c>
      <c r="BE119" s="243">
        <f t="shared" ref="BE119" si="133">BE98/SUM(BE$85:BE$102)</f>
        <v>3.5714285714285733E-2</v>
      </c>
      <c r="BF119" s="410">
        <f t="shared" si="67"/>
        <v>0.54761904761904767</v>
      </c>
      <c r="BG119" s="203"/>
      <c r="BH119" s="243">
        <f t="shared" si="51"/>
        <v>0</v>
      </c>
    </row>
    <row r="120" spans="1:60" s="21" customFormat="1" x14ac:dyDescent="0.3">
      <c r="A120" s="183"/>
      <c r="B120" s="183"/>
      <c r="D120" s="125"/>
      <c r="G120" s="107"/>
      <c r="H120" s="107"/>
      <c r="I120" s="107"/>
      <c r="J120" s="107"/>
      <c r="K120" s="107"/>
      <c r="L120" s="107"/>
      <c r="M120" s="334"/>
      <c r="N120" s="116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202"/>
      <c r="AD120" s="182"/>
      <c r="AE120" s="182"/>
      <c r="AF120" s="182"/>
      <c r="AG120" s="201"/>
      <c r="AH120" s="201"/>
      <c r="AI120" s="201"/>
      <c r="AJ120" s="182"/>
      <c r="AK120" s="201"/>
      <c r="AL120" s="201"/>
      <c r="AM120" s="201"/>
      <c r="AN120" s="182"/>
      <c r="AO120" s="182">
        <v>18</v>
      </c>
      <c r="AP120" s="243">
        <f t="shared" si="52"/>
        <v>3.9964703994866034E-2</v>
      </c>
      <c r="AQ120" s="414">
        <f t="shared" si="59"/>
        <v>0.62695331301139101</v>
      </c>
      <c r="AR120" s="243">
        <f t="shared" si="52"/>
        <v>4.1916167664670663E-2</v>
      </c>
      <c r="AS120" s="243">
        <f t="shared" si="59"/>
        <v>0.64371257485029942</v>
      </c>
      <c r="AT120" s="243">
        <f t="shared" ref="AT120" si="134">AT99/SUM(AT$85:AT$102)</f>
        <v>6.5852846236614235E-2</v>
      </c>
      <c r="AU120" s="243">
        <f t="shared" si="59"/>
        <v>0.59820925347133269</v>
      </c>
      <c r="AV120" s="243">
        <f t="shared" ref="AV120" si="135">AV99/SUM(AV$85:AV$102)</f>
        <v>6.6502463054187194E-2</v>
      </c>
      <c r="AW120" s="243">
        <f t="shared" si="59"/>
        <v>0.65517241379310343</v>
      </c>
      <c r="AX120" s="243">
        <f t="shared" ref="AX120" si="136">AX99/SUM(AX$85:AX$102)</f>
        <v>5.0351508916323728E-2</v>
      </c>
      <c r="AY120" s="412">
        <f t="shared" si="59"/>
        <v>0.52742626886145394</v>
      </c>
      <c r="AZ120" s="243">
        <f t="shared" ref="AZ120" si="137">AZ99/SUM(AZ$85:AZ$102)</f>
        <v>5.6390977443609019E-2</v>
      </c>
      <c r="BA120" s="412">
        <f t="shared" si="59"/>
        <v>0.52067669172932329</v>
      </c>
      <c r="BB120" s="182"/>
      <c r="BC120" s="243">
        <f t="shared" ref="BC120" si="138">BC99/SUM(BC$85:BC$102)</f>
        <v>6.0325786858089495E-2</v>
      </c>
      <c r="BD120" s="410">
        <f t="shared" si="65"/>
        <v>0.63914964108227501</v>
      </c>
      <c r="BE120" s="243">
        <f t="shared" ref="BE120" si="139">BE99/SUM(BE$85:BE$102)</f>
        <v>6.7460317460317429E-2</v>
      </c>
      <c r="BF120" s="410">
        <f t="shared" si="67"/>
        <v>0.61507936507936511</v>
      </c>
      <c r="BG120" s="203"/>
      <c r="BH120" s="243">
        <f t="shared" si="51"/>
        <v>0</v>
      </c>
    </row>
    <row r="121" spans="1:60" s="21" customFormat="1" x14ac:dyDescent="0.3">
      <c r="A121" s="183"/>
      <c r="B121" s="183"/>
      <c r="D121" s="125"/>
      <c r="G121" s="107"/>
      <c r="H121" s="107"/>
      <c r="I121" s="107"/>
      <c r="J121" s="107"/>
      <c r="K121" s="107"/>
      <c r="L121" s="107"/>
      <c r="M121" s="334"/>
      <c r="N121" s="116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202"/>
      <c r="AD121" s="182"/>
      <c r="AE121" s="182"/>
      <c r="AF121" s="182"/>
      <c r="AG121" s="201"/>
      <c r="AH121" s="201"/>
      <c r="AI121" s="201"/>
      <c r="AJ121" s="182"/>
      <c r="AK121" s="201"/>
      <c r="AL121" s="201"/>
      <c r="AM121" s="201"/>
      <c r="AN121" s="182"/>
      <c r="AO121" s="182">
        <v>19</v>
      </c>
      <c r="AP121" s="243">
        <f t="shared" si="52"/>
        <v>7.5148403657949614E-2</v>
      </c>
      <c r="AQ121" s="414">
        <f t="shared" si="59"/>
        <v>0.70210171666934063</v>
      </c>
      <c r="AR121" s="243">
        <f t="shared" si="52"/>
        <v>7.1856287425149712E-2</v>
      </c>
      <c r="AS121" s="243">
        <f t="shared" si="59"/>
        <v>0.71556886227544914</v>
      </c>
      <c r="AT121" s="243">
        <f t="shared" ref="AT121" si="140">AT100/SUM(AT$85:AT$102)</f>
        <v>0.11779474304452529</v>
      </c>
      <c r="AU121" s="243">
        <f t="shared" si="59"/>
        <v>0.716003996515858</v>
      </c>
      <c r="AV121" s="243">
        <f t="shared" ref="AV121" si="141">AV100/SUM(AV$85:AV$102)</f>
        <v>8.6206896551724144E-2</v>
      </c>
      <c r="AW121" s="243">
        <f t="shared" si="59"/>
        <v>0.74137931034482762</v>
      </c>
      <c r="AX121" s="243">
        <f t="shared" ref="AX121" si="142">AX100/SUM(AX$85:AX$102)</f>
        <v>6.9633058984910845E-2</v>
      </c>
      <c r="AY121" s="412">
        <f t="shared" si="59"/>
        <v>0.59705932784636473</v>
      </c>
      <c r="AZ121" s="243">
        <f t="shared" ref="AZ121" si="143">AZ100/SUM(AZ$85:AZ$102)</f>
        <v>6.7669172932330823E-2</v>
      </c>
      <c r="BA121" s="412">
        <f t="shared" si="59"/>
        <v>0.58834586466165417</v>
      </c>
      <c r="BB121" s="182"/>
      <c r="BC121" s="243">
        <f t="shared" ref="BC121" si="144">BC100/SUM(BC$85:BC$102)</f>
        <v>6.7066997975335954E-2</v>
      </c>
      <c r="BD121" s="410">
        <f t="shared" si="65"/>
        <v>0.70621663905761101</v>
      </c>
      <c r="BE121" s="243">
        <f t="shared" ref="BE121" si="145">BE100/SUM(BE$85:BE$102)</f>
        <v>6.7460317460317429E-2</v>
      </c>
      <c r="BF121" s="410">
        <f t="shared" si="67"/>
        <v>0.68253968253968256</v>
      </c>
      <c r="BG121" s="203"/>
      <c r="BH121" s="243">
        <f t="shared" si="51"/>
        <v>0</v>
      </c>
    </row>
    <row r="122" spans="1:60" s="21" customFormat="1" x14ac:dyDescent="0.3">
      <c r="A122" s="183"/>
      <c r="B122" s="183"/>
      <c r="D122" s="125"/>
      <c r="G122" s="107"/>
      <c r="H122" s="107"/>
      <c r="I122" s="107"/>
      <c r="J122" s="107"/>
      <c r="K122" s="107"/>
      <c r="L122" s="107"/>
      <c r="M122" s="334"/>
      <c r="N122" s="116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202"/>
      <c r="AD122" s="182"/>
      <c r="AE122" s="182"/>
      <c r="AF122" s="182"/>
      <c r="AG122" s="201"/>
      <c r="AH122" s="201"/>
      <c r="AI122" s="201"/>
      <c r="AJ122" s="182"/>
      <c r="AK122" s="201"/>
      <c r="AL122" s="201"/>
      <c r="AM122" s="201"/>
      <c r="AN122" s="182"/>
      <c r="AO122" s="182">
        <v>20</v>
      </c>
      <c r="AP122" s="243">
        <f t="shared" si="52"/>
        <v>0.12128990855125941</v>
      </c>
      <c r="AQ122" s="414">
        <f t="shared" si="59"/>
        <v>0.82339162522060005</v>
      </c>
      <c r="AR122" s="243">
        <f t="shared" si="52"/>
        <v>0.11676646706586827</v>
      </c>
      <c r="AS122" s="243">
        <f t="shared" si="59"/>
        <v>0.83233532934131738</v>
      </c>
      <c r="AT122" s="243">
        <f t="shared" ref="AT122" si="146">AT101/SUM(AT$85:AT$102)</f>
        <v>9.8529487113798234E-2</v>
      </c>
      <c r="AU122" s="243">
        <f t="shared" si="59"/>
        <v>0.81453348362965627</v>
      </c>
      <c r="AV122" s="243">
        <f t="shared" ref="AV122" si="147">AV101/SUM(AV$85:AV$102)</f>
        <v>8.6206896551724144E-2</v>
      </c>
      <c r="AW122" s="243">
        <f t="shared" si="59"/>
        <v>0.82758620689655182</v>
      </c>
      <c r="AX122" s="243">
        <f t="shared" ref="AX122" si="148">AX101/SUM(AX$85:AX$102)</f>
        <v>5.8144718792866944E-2</v>
      </c>
      <c r="AY122" s="412">
        <f t="shared" si="59"/>
        <v>0.65520404663923171</v>
      </c>
      <c r="AZ122" s="243">
        <f t="shared" ref="AZ122" si="149">AZ101/SUM(AZ$85:AZ$102)</f>
        <v>7.3308270676691725E-2</v>
      </c>
      <c r="BA122" s="412">
        <f t="shared" si="59"/>
        <v>0.66165413533834594</v>
      </c>
      <c r="BB122" s="182"/>
      <c r="BC122" s="243">
        <f t="shared" ref="BC122" si="150">BC101/SUM(BC$85:BC$102)</f>
        <v>0.11586600404932808</v>
      </c>
      <c r="BD122" s="410">
        <f t="shared" si="65"/>
        <v>0.82208264310693913</v>
      </c>
      <c r="BE122" s="243">
        <f t="shared" ref="BE122" si="151">BE101/SUM(BE$85:BE$102)</f>
        <v>0.13095238095238096</v>
      </c>
      <c r="BF122" s="410">
        <f t="shared" si="67"/>
        <v>0.81349206349206349</v>
      </c>
      <c r="BG122" s="203"/>
      <c r="BH122" s="243">
        <f t="shared" si="51"/>
        <v>0</v>
      </c>
    </row>
    <row r="123" spans="1:60" s="21" customFormat="1" x14ac:dyDescent="0.3">
      <c r="A123" s="183"/>
      <c r="B123" s="183"/>
      <c r="D123" s="125"/>
      <c r="G123" s="107"/>
      <c r="H123" s="107"/>
      <c r="I123" s="107"/>
      <c r="J123" s="107"/>
      <c r="K123" s="107"/>
      <c r="L123" s="107"/>
      <c r="M123" s="334"/>
      <c r="N123" s="116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202"/>
      <c r="AD123" s="182"/>
      <c r="AE123" s="182"/>
      <c r="AF123" s="182"/>
      <c r="AG123" s="201"/>
      <c r="AH123" s="201"/>
      <c r="AI123" s="201"/>
      <c r="AJ123" s="182"/>
      <c r="AK123" s="201"/>
      <c r="AL123" s="201"/>
      <c r="AM123" s="201"/>
      <c r="AN123" s="182"/>
      <c r="AO123" s="182">
        <v>21</v>
      </c>
      <c r="AP123" s="243">
        <f t="shared" si="52"/>
        <v>0.17660837477939995</v>
      </c>
      <c r="AQ123" s="414">
        <f t="shared" si="59"/>
        <v>1</v>
      </c>
      <c r="AR123" s="243">
        <f t="shared" si="52"/>
        <v>0.16766467065868265</v>
      </c>
      <c r="AS123" s="243">
        <f t="shared" si="59"/>
        <v>1</v>
      </c>
      <c r="AT123" s="243">
        <f t="shared" ref="AT123" si="152">AT102/SUM(AT$85:AT$102)</f>
        <v>0.18546651637034381</v>
      </c>
      <c r="AU123" s="243">
        <f t="shared" si="59"/>
        <v>1</v>
      </c>
      <c r="AV123" s="243">
        <f t="shared" ref="AV123" si="153">AV102/SUM(AV$85:AV$102)</f>
        <v>0.17241379310344829</v>
      </c>
      <c r="AW123" s="243">
        <f t="shared" si="59"/>
        <v>1</v>
      </c>
      <c r="AX123" s="243">
        <f t="shared" ref="AX123" si="154">AX102/SUM(AX$85:AX$102)</f>
        <v>0.34479595336076813</v>
      </c>
      <c r="AY123" s="412">
        <f t="shared" si="59"/>
        <v>0.99999999999999978</v>
      </c>
      <c r="AZ123" s="243">
        <f t="shared" ref="AZ123" si="155">AZ102/SUM(AZ$85:AZ$102)</f>
        <v>0.33834586466165412</v>
      </c>
      <c r="BA123" s="412">
        <f t="shared" si="59"/>
        <v>1</v>
      </c>
      <c r="BB123" s="182"/>
      <c r="BC123" s="243">
        <f t="shared" ref="BC123" si="156">BC102/SUM(BC$85:BC$102)</f>
        <v>0.17791735689306099</v>
      </c>
      <c r="BD123" s="410">
        <f t="shared" si="65"/>
        <v>1</v>
      </c>
      <c r="BE123" s="243">
        <f t="shared" ref="BE123" si="157">BE102/SUM(BE$85:BE$102)</f>
        <v>0.18650793650793657</v>
      </c>
      <c r="BF123" s="410">
        <f t="shared" si="67"/>
        <v>1</v>
      </c>
      <c r="BG123" s="203"/>
      <c r="BH123" s="243">
        <f t="shared" si="51"/>
        <v>0</v>
      </c>
    </row>
    <row r="124" spans="1:60" s="21" customFormat="1" x14ac:dyDescent="0.3">
      <c r="A124" s="183"/>
      <c r="B124" s="183"/>
      <c r="D124" s="125"/>
      <c r="G124" s="107"/>
      <c r="H124" s="107"/>
      <c r="I124" s="107"/>
      <c r="J124" s="107"/>
      <c r="K124" s="107"/>
      <c r="L124" s="107"/>
      <c r="M124" s="334"/>
      <c r="N124" s="116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202"/>
      <c r="AD124" s="182"/>
      <c r="AE124" s="182"/>
      <c r="AF124" s="182"/>
      <c r="AG124" s="201"/>
      <c r="AH124" s="201"/>
      <c r="AI124" s="201"/>
      <c r="AJ124" s="182"/>
      <c r="AK124" s="201"/>
      <c r="AL124" s="201"/>
      <c r="AM124" s="201"/>
      <c r="AN124" s="182"/>
      <c r="AO124" s="182"/>
      <c r="AP124" s="243"/>
      <c r="AQ124" s="182"/>
      <c r="AR124" s="202"/>
      <c r="AS124" s="202"/>
      <c r="AT124" s="182"/>
      <c r="AU124" s="182"/>
      <c r="AV124" s="202"/>
      <c r="AW124" s="202"/>
      <c r="AX124" s="182"/>
      <c r="AY124" s="182"/>
      <c r="AZ124" s="202"/>
      <c r="BA124" s="202"/>
      <c r="BB124" s="182"/>
      <c r="BC124" s="182"/>
      <c r="BD124" s="182"/>
      <c r="BE124" s="202"/>
      <c r="BF124" s="202"/>
      <c r="BG124" s="203"/>
      <c r="BH124" s="182"/>
    </row>
    <row r="125" spans="1:60" s="21" customFormat="1" x14ac:dyDescent="0.3">
      <c r="A125" s="183"/>
      <c r="B125" s="183"/>
      <c r="D125" s="125"/>
      <c r="G125" s="107"/>
      <c r="H125" s="107"/>
      <c r="I125" s="107"/>
      <c r="J125" s="107"/>
      <c r="K125" s="107"/>
      <c r="L125" s="107"/>
      <c r="M125" s="334"/>
      <c r="N125" s="116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202"/>
      <c r="AD125" s="182"/>
      <c r="AE125" s="182"/>
      <c r="AF125" s="182"/>
      <c r="AG125" s="201"/>
      <c r="AH125" s="201"/>
      <c r="AI125" s="201"/>
      <c r="AJ125" s="182"/>
      <c r="AK125" s="201"/>
      <c r="AL125" s="201"/>
      <c r="AM125" s="201"/>
      <c r="AN125" s="182"/>
      <c r="AO125" s="182"/>
      <c r="AP125" s="182"/>
      <c r="AQ125" s="182"/>
      <c r="AR125" s="202"/>
      <c r="AS125" s="202"/>
      <c r="AT125" s="182"/>
      <c r="AU125" s="182"/>
      <c r="AV125" s="202"/>
      <c r="AW125" s="202"/>
      <c r="AX125" s="182"/>
      <c r="AY125" s="182"/>
      <c r="AZ125" s="202"/>
      <c r="BA125" s="202"/>
      <c r="BB125" s="182"/>
      <c r="BC125" s="182"/>
      <c r="BD125" s="182"/>
      <c r="BE125" s="202"/>
      <c r="BF125" s="202"/>
      <c r="BG125" s="203"/>
      <c r="BH125" s="182"/>
    </row>
    <row r="126" spans="1:60" s="21" customFormat="1" x14ac:dyDescent="0.3">
      <c r="A126" s="183"/>
      <c r="B126" s="183"/>
      <c r="D126" s="125"/>
      <c r="G126" s="107"/>
      <c r="H126" s="107"/>
      <c r="I126" s="107"/>
      <c r="J126" s="107"/>
      <c r="K126" s="107"/>
      <c r="L126" s="107"/>
      <c r="M126" s="334"/>
      <c r="N126" s="116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202"/>
      <c r="AD126" s="182"/>
      <c r="AE126" s="182"/>
      <c r="AF126" s="182"/>
      <c r="AG126" s="201"/>
      <c r="AH126" s="201"/>
      <c r="AI126" s="201"/>
      <c r="AJ126" s="182"/>
      <c r="AK126" s="201"/>
      <c r="AL126" s="201"/>
      <c r="AM126" s="201"/>
      <c r="AN126" s="182"/>
      <c r="AO126" s="182"/>
      <c r="AP126" s="182"/>
      <c r="AQ126" s="182"/>
      <c r="AR126" s="202"/>
      <c r="AS126" s="202"/>
      <c r="AT126" s="182"/>
      <c r="AU126" s="182"/>
      <c r="AV126" s="202"/>
      <c r="AW126" s="202"/>
      <c r="AX126" s="182"/>
      <c r="AY126" s="182"/>
      <c r="AZ126" s="202"/>
      <c r="BA126" s="202"/>
      <c r="BB126" s="182"/>
      <c r="BC126" s="182"/>
      <c r="BD126" s="182"/>
      <c r="BE126" s="202"/>
      <c r="BF126" s="202"/>
      <c r="BG126" s="203"/>
      <c r="BH126" s="182"/>
    </row>
    <row r="127" spans="1:60" s="21" customFormat="1" x14ac:dyDescent="0.3">
      <c r="A127" s="183"/>
      <c r="B127" s="183"/>
      <c r="D127" s="125"/>
      <c r="G127" s="107"/>
      <c r="H127" s="107"/>
      <c r="I127" s="107"/>
      <c r="J127" s="107"/>
      <c r="K127" s="107"/>
      <c r="L127" s="107"/>
      <c r="M127" s="334"/>
      <c r="N127" s="116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202"/>
      <c r="AD127" s="182"/>
      <c r="AE127" s="182"/>
      <c r="AF127" s="182"/>
      <c r="AG127" s="201"/>
      <c r="AH127" s="201"/>
      <c r="AI127" s="201"/>
      <c r="AJ127" s="182"/>
      <c r="AK127" s="201"/>
      <c r="AL127" s="201"/>
      <c r="AM127" s="201"/>
      <c r="AN127" s="182"/>
      <c r="AO127" s="182"/>
      <c r="AP127" s="182"/>
      <c r="AQ127" s="182"/>
      <c r="AR127" s="202"/>
      <c r="AS127" s="202"/>
      <c r="AT127" s="182"/>
      <c r="AU127" s="182"/>
      <c r="AV127" s="202"/>
      <c r="AW127" s="202"/>
      <c r="AX127" s="182"/>
      <c r="AY127" s="182"/>
      <c r="AZ127" s="202"/>
      <c r="BA127" s="202"/>
      <c r="BB127" s="182"/>
      <c r="BC127" s="182"/>
      <c r="BD127" s="182"/>
      <c r="BE127" s="202"/>
      <c r="BF127" s="202"/>
      <c r="BG127" s="203"/>
      <c r="BH127" s="182"/>
    </row>
    <row r="128" spans="1:60" s="21" customFormat="1" x14ac:dyDescent="0.3">
      <c r="A128" s="183"/>
      <c r="B128" s="183"/>
      <c r="D128" s="125"/>
      <c r="G128" s="107"/>
      <c r="H128" s="107"/>
      <c r="I128" s="107"/>
      <c r="J128" s="107"/>
      <c r="K128" s="107"/>
      <c r="L128" s="107"/>
      <c r="M128" s="334"/>
      <c r="N128" s="116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202"/>
      <c r="AD128" s="182"/>
      <c r="AE128" s="182"/>
      <c r="AF128" s="182"/>
      <c r="AG128" s="201"/>
      <c r="AH128" s="201"/>
      <c r="AI128" s="201"/>
      <c r="AJ128" s="182"/>
      <c r="AK128" s="201"/>
      <c r="AL128" s="201"/>
      <c r="AM128" s="201"/>
      <c r="AN128" s="182"/>
      <c r="AO128" s="182"/>
      <c r="AP128" s="182"/>
      <c r="AQ128" s="182"/>
      <c r="AR128" s="202"/>
      <c r="AS128" s="202"/>
      <c r="AT128" s="182"/>
      <c r="AU128" s="182"/>
      <c r="AV128" s="202"/>
      <c r="AW128" s="202"/>
      <c r="AX128" s="182"/>
      <c r="AY128" s="182"/>
      <c r="AZ128" s="202"/>
      <c r="BA128" s="202"/>
      <c r="BB128" s="182"/>
      <c r="BC128" s="182"/>
      <c r="BD128" s="182"/>
      <c r="BE128" s="202"/>
      <c r="BF128" s="202"/>
      <c r="BG128" s="203"/>
      <c r="BH128" s="182"/>
    </row>
    <row r="129" spans="1:60" s="21" customFormat="1" x14ac:dyDescent="0.3">
      <c r="A129" s="183"/>
      <c r="B129" s="183"/>
      <c r="D129" s="125"/>
      <c r="G129" s="107"/>
      <c r="H129" s="107"/>
      <c r="I129" s="107"/>
      <c r="J129" s="107"/>
      <c r="K129" s="107"/>
      <c r="L129" s="107"/>
      <c r="M129" s="334"/>
      <c r="N129" s="116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202"/>
      <c r="AD129" s="182"/>
      <c r="AE129" s="182"/>
      <c r="AF129" s="182"/>
      <c r="AG129" s="201"/>
      <c r="AH129" s="201"/>
      <c r="AI129" s="201"/>
      <c r="AJ129" s="182"/>
      <c r="AK129" s="201"/>
      <c r="AL129" s="201"/>
      <c r="AM129" s="201"/>
      <c r="AN129" s="182"/>
      <c r="AO129" s="182"/>
      <c r="AP129" s="182"/>
      <c r="AQ129" s="182"/>
      <c r="AR129" s="202"/>
      <c r="AS129" s="202"/>
      <c r="AT129" s="182"/>
      <c r="AU129" s="182"/>
      <c r="AV129" s="202"/>
      <c r="AW129" s="202"/>
      <c r="AX129" s="182"/>
      <c r="AY129" s="182"/>
      <c r="AZ129" s="202"/>
      <c r="BA129" s="202"/>
      <c r="BB129" s="182"/>
      <c r="BC129" s="182"/>
      <c r="BD129" s="182"/>
      <c r="BE129" s="202"/>
      <c r="BF129" s="202"/>
      <c r="BG129" s="203"/>
      <c r="BH129" s="182"/>
    </row>
    <row r="130" spans="1:60" s="21" customFormat="1" x14ac:dyDescent="0.3">
      <c r="A130" s="183"/>
      <c r="B130" s="183"/>
      <c r="D130" s="125"/>
      <c r="G130" s="107"/>
      <c r="H130" s="107"/>
      <c r="I130" s="107"/>
      <c r="J130" s="107"/>
      <c r="K130" s="107"/>
      <c r="L130" s="107"/>
      <c r="M130" s="334"/>
      <c r="N130" s="116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202"/>
      <c r="AD130" s="182"/>
      <c r="AE130" s="182"/>
      <c r="AF130" s="182"/>
      <c r="AG130" s="201"/>
      <c r="AH130" s="201"/>
      <c r="AI130" s="201"/>
      <c r="AJ130" s="182"/>
      <c r="AK130" s="201"/>
      <c r="AL130" s="201"/>
      <c r="AM130" s="201"/>
      <c r="AN130" s="182"/>
      <c r="AO130" s="182"/>
      <c r="AP130" s="182"/>
      <c r="AQ130" s="182"/>
      <c r="AR130" s="202"/>
      <c r="AS130" s="202"/>
      <c r="AT130" s="182"/>
      <c r="AU130" s="182"/>
      <c r="AV130" s="202"/>
      <c r="AW130" s="202"/>
      <c r="AX130" s="182"/>
      <c r="AY130" s="182"/>
      <c r="AZ130" s="202"/>
      <c r="BA130" s="202"/>
      <c r="BB130" s="182"/>
      <c r="BC130" s="182"/>
      <c r="BD130" s="182"/>
      <c r="BE130" s="202"/>
      <c r="BF130" s="202"/>
      <c r="BG130" s="203"/>
      <c r="BH130" s="182"/>
    </row>
    <row r="131" spans="1:60" s="21" customFormat="1" x14ac:dyDescent="0.3">
      <c r="A131" s="183"/>
      <c r="B131" s="183"/>
      <c r="D131" s="125"/>
      <c r="G131" s="107"/>
      <c r="H131" s="107"/>
      <c r="I131" s="107"/>
      <c r="J131" s="107"/>
      <c r="K131" s="107"/>
      <c r="L131" s="107"/>
      <c r="M131" s="334"/>
      <c r="N131" s="116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202"/>
      <c r="AD131" s="182"/>
      <c r="AE131" s="182"/>
      <c r="AF131" s="182"/>
      <c r="AG131" s="201"/>
      <c r="AH131" s="201"/>
      <c r="AI131" s="201"/>
      <c r="AJ131" s="182"/>
      <c r="AK131" s="201"/>
      <c r="AL131" s="201"/>
      <c r="AM131" s="201"/>
      <c r="AN131" s="182"/>
      <c r="AO131" s="182"/>
      <c r="AP131" s="182"/>
      <c r="AQ131" s="182"/>
      <c r="AR131" s="202"/>
      <c r="AS131" s="202"/>
      <c r="AT131" s="182"/>
      <c r="AU131" s="182"/>
      <c r="AV131" s="202"/>
      <c r="AW131" s="202"/>
      <c r="AX131" s="182"/>
      <c r="AY131" s="182"/>
      <c r="AZ131" s="202"/>
      <c r="BA131" s="202"/>
      <c r="BB131" s="182"/>
      <c r="BC131" s="182"/>
      <c r="BD131" s="182"/>
      <c r="BE131" s="202"/>
      <c r="BF131" s="202"/>
      <c r="BG131" s="203"/>
      <c r="BH131" s="182"/>
    </row>
    <row r="132" spans="1:60" s="21" customFormat="1" x14ac:dyDescent="0.3">
      <c r="A132" s="183"/>
      <c r="B132" s="183"/>
      <c r="D132" s="125"/>
      <c r="G132" s="107"/>
      <c r="H132" s="107"/>
      <c r="I132" s="107"/>
      <c r="J132" s="107"/>
      <c r="K132" s="107"/>
      <c r="L132" s="107"/>
      <c r="M132" s="334"/>
      <c r="N132" s="116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202"/>
      <c r="AD132" s="182"/>
      <c r="AE132" s="182"/>
      <c r="AF132" s="182"/>
      <c r="AG132" s="201"/>
      <c r="AH132" s="201"/>
      <c r="AI132" s="201"/>
      <c r="AJ132" s="182"/>
      <c r="AK132" s="201"/>
      <c r="AL132" s="201"/>
      <c r="AM132" s="201"/>
      <c r="AN132" s="182"/>
      <c r="AO132" s="182"/>
      <c r="AP132" s="182"/>
      <c r="AQ132" s="182"/>
      <c r="AR132" s="202"/>
      <c r="AS132" s="202"/>
      <c r="AT132" s="182"/>
      <c r="AU132" s="182"/>
      <c r="AV132" s="202"/>
      <c r="AW132" s="202"/>
      <c r="AX132" s="182"/>
      <c r="AY132" s="182"/>
      <c r="AZ132" s="202"/>
      <c r="BA132" s="202"/>
      <c r="BB132" s="182"/>
      <c r="BC132" s="182"/>
      <c r="BD132" s="182"/>
      <c r="BE132" s="202"/>
      <c r="BF132" s="202"/>
      <c r="BG132" s="203"/>
      <c r="BH132" s="182"/>
    </row>
    <row r="133" spans="1:60" s="21" customFormat="1" x14ac:dyDescent="0.3">
      <c r="A133" s="183"/>
      <c r="B133" s="183"/>
      <c r="D133" s="125"/>
      <c r="G133" s="107"/>
      <c r="H133" s="107"/>
      <c r="I133" s="107"/>
      <c r="J133" s="107"/>
      <c r="K133" s="107"/>
      <c r="L133" s="107"/>
      <c r="M133" s="334"/>
      <c r="N133" s="116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202"/>
      <c r="AD133" s="182"/>
      <c r="AE133" s="182"/>
      <c r="AF133" s="182"/>
      <c r="AG133" s="201"/>
      <c r="AH133" s="201"/>
      <c r="AI133" s="201"/>
      <c r="AJ133" s="182"/>
      <c r="AK133" s="201"/>
      <c r="AL133" s="201"/>
      <c r="AM133" s="201"/>
      <c r="AN133" s="182"/>
      <c r="AO133" s="182"/>
      <c r="AP133" s="182"/>
      <c r="AQ133" s="182"/>
      <c r="AR133" s="202"/>
      <c r="AS133" s="202"/>
      <c r="AT133" s="182"/>
      <c r="AU133" s="182"/>
      <c r="AV133" s="202"/>
      <c r="AW133" s="202"/>
      <c r="AX133" s="182"/>
      <c r="AY133" s="182"/>
      <c r="AZ133" s="202"/>
      <c r="BA133" s="202"/>
      <c r="BB133" s="182"/>
      <c r="BC133" s="182"/>
      <c r="BD133" s="182"/>
      <c r="BE133" s="202"/>
      <c r="BF133" s="202"/>
      <c r="BG133" s="203"/>
      <c r="BH133" s="182"/>
    </row>
    <row r="134" spans="1:60" s="21" customFormat="1" x14ac:dyDescent="0.3">
      <c r="A134" s="183"/>
      <c r="B134" s="183"/>
      <c r="D134" s="125"/>
      <c r="G134" s="107"/>
      <c r="H134" s="107"/>
      <c r="I134" s="107"/>
      <c r="J134" s="107"/>
      <c r="K134" s="107"/>
      <c r="L134" s="107"/>
      <c r="M134" s="334"/>
      <c r="N134" s="116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202"/>
      <c r="AD134" s="182"/>
      <c r="AE134" s="182"/>
      <c r="AF134" s="182"/>
      <c r="AG134" s="201"/>
      <c r="AH134" s="201"/>
      <c r="AI134" s="201"/>
      <c r="AJ134" s="182"/>
      <c r="AK134" s="201"/>
      <c r="AL134" s="201"/>
      <c r="AM134" s="201"/>
      <c r="AN134" s="182"/>
      <c r="AO134" s="182"/>
      <c r="AP134" s="182"/>
      <c r="AQ134" s="182"/>
      <c r="AR134" s="202"/>
      <c r="AS134" s="202"/>
      <c r="AT134" s="182"/>
      <c r="AU134" s="182"/>
      <c r="AV134" s="202"/>
      <c r="AW134" s="202"/>
      <c r="AX134" s="182"/>
      <c r="AY134" s="182"/>
      <c r="AZ134" s="202"/>
      <c r="BA134" s="202"/>
      <c r="BB134" s="182"/>
      <c r="BC134" s="182"/>
      <c r="BD134" s="182"/>
      <c r="BE134" s="202"/>
      <c r="BF134" s="202"/>
      <c r="BG134" s="203"/>
      <c r="BH134" s="182"/>
    </row>
    <row r="135" spans="1:60" s="21" customFormat="1" x14ac:dyDescent="0.3">
      <c r="A135" s="183"/>
      <c r="B135" s="183"/>
      <c r="D135" s="125"/>
      <c r="G135" s="107"/>
      <c r="H135" s="107"/>
      <c r="I135" s="107"/>
      <c r="J135" s="107"/>
      <c r="K135" s="107"/>
      <c r="L135" s="107"/>
      <c r="M135" s="334"/>
      <c r="N135" s="116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202"/>
      <c r="AD135" s="182"/>
      <c r="AE135" s="182"/>
      <c r="AF135" s="182"/>
      <c r="AG135" s="201"/>
      <c r="AH135" s="201"/>
      <c r="AI135" s="201"/>
      <c r="AJ135" s="182"/>
      <c r="AK135" s="201"/>
      <c r="AL135" s="201"/>
      <c r="AM135" s="201"/>
      <c r="AN135" s="182"/>
      <c r="AO135" s="182"/>
      <c r="AP135" s="182"/>
      <c r="AQ135" s="182"/>
      <c r="AR135" s="202"/>
      <c r="AS135" s="202"/>
      <c r="AT135" s="182"/>
      <c r="AU135" s="182"/>
      <c r="AV135" s="202"/>
      <c r="AW135" s="202"/>
      <c r="AX135" s="182"/>
      <c r="AY135" s="182"/>
      <c r="AZ135" s="202"/>
      <c r="BA135" s="202"/>
      <c r="BB135" s="182"/>
      <c r="BC135" s="182"/>
      <c r="BD135" s="182"/>
      <c r="BE135" s="202"/>
      <c r="BF135" s="202"/>
      <c r="BG135" s="203"/>
      <c r="BH135" s="182"/>
    </row>
    <row r="136" spans="1:60" s="21" customFormat="1" x14ac:dyDescent="0.3">
      <c r="A136" s="183"/>
      <c r="B136" s="183"/>
      <c r="D136" s="125"/>
      <c r="G136" s="107"/>
      <c r="H136" s="107"/>
      <c r="I136" s="107"/>
      <c r="J136" s="107"/>
      <c r="K136" s="107"/>
      <c r="L136" s="107"/>
      <c r="M136" s="334"/>
      <c r="N136" s="116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202"/>
      <c r="AD136" s="182"/>
      <c r="AE136" s="182"/>
      <c r="AF136" s="182"/>
      <c r="AG136" s="201"/>
      <c r="AH136" s="201"/>
      <c r="AI136" s="201"/>
      <c r="AJ136" s="182"/>
      <c r="AK136" s="201"/>
      <c r="AL136" s="201"/>
      <c r="AM136" s="201"/>
      <c r="AN136" s="182"/>
      <c r="AO136" s="182"/>
      <c r="AP136" s="182"/>
      <c r="AQ136" s="182"/>
      <c r="AR136" s="202"/>
      <c r="AS136" s="202"/>
      <c r="AT136" s="182"/>
      <c r="AU136" s="182"/>
      <c r="AV136" s="202"/>
      <c r="AW136" s="202"/>
      <c r="AX136" s="182"/>
      <c r="AY136" s="182"/>
      <c r="AZ136" s="202"/>
      <c r="BA136" s="202"/>
      <c r="BB136" s="182"/>
      <c r="BC136" s="182"/>
      <c r="BD136" s="182"/>
      <c r="BE136" s="202"/>
      <c r="BF136" s="202"/>
      <c r="BG136" s="203"/>
      <c r="BH136" s="182"/>
    </row>
    <row r="137" spans="1:60" s="21" customFormat="1" x14ac:dyDescent="0.3">
      <c r="A137" s="183"/>
      <c r="B137" s="183"/>
      <c r="D137" s="125"/>
      <c r="G137" s="107"/>
      <c r="H137" s="107"/>
      <c r="I137" s="107"/>
      <c r="J137" s="107"/>
      <c r="K137" s="107"/>
      <c r="L137" s="107"/>
      <c r="M137" s="334"/>
      <c r="N137" s="116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202"/>
      <c r="AD137" s="182"/>
      <c r="AE137" s="182"/>
      <c r="AF137" s="182"/>
      <c r="AG137" s="201"/>
      <c r="AH137" s="201"/>
      <c r="AI137" s="201"/>
      <c r="AJ137" s="182"/>
      <c r="AK137" s="201"/>
      <c r="AL137" s="201"/>
      <c r="AM137" s="201"/>
      <c r="AN137" s="182"/>
      <c r="AO137" s="182"/>
      <c r="AP137" s="182"/>
      <c r="AQ137" s="182"/>
      <c r="AR137" s="202"/>
      <c r="AS137" s="202"/>
      <c r="AT137" s="182"/>
      <c r="AU137" s="182"/>
      <c r="AV137" s="202"/>
      <c r="AW137" s="202"/>
      <c r="AX137" s="182"/>
      <c r="AY137" s="182"/>
      <c r="AZ137" s="202"/>
      <c r="BA137" s="202"/>
      <c r="BB137" s="182"/>
      <c r="BC137" s="182"/>
      <c r="BD137" s="182"/>
      <c r="BE137" s="202"/>
      <c r="BF137" s="202"/>
      <c r="BG137" s="203"/>
      <c r="BH137" s="182"/>
    </row>
    <row r="138" spans="1:60" s="21" customFormat="1" x14ac:dyDescent="0.3">
      <c r="A138" s="183"/>
      <c r="B138" s="183"/>
      <c r="D138" s="125"/>
      <c r="G138" s="107"/>
      <c r="H138" s="107"/>
      <c r="I138" s="107"/>
      <c r="J138" s="107"/>
      <c r="K138" s="107"/>
      <c r="L138" s="107"/>
      <c r="M138" s="334"/>
      <c r="N138" s="116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202"/>
      <c r="AD138" s="182"/>
      <c r="AE138" s="182"/>
      <c r="AF138" s="182"/>
      <c r="AG138" s="201"/>
      <c r="AH138" s="201"/>
      <c r="AI138" s="201"/>
      <c r="AJ138" s="182"/>
      <c r="AK138" s="201"/>
      <c r="AL138" s="201"/>
      <c r="AM138" s="201"/>
      <c r="AN138" s="182"/>
      <c r="AO138" s="182"/>
      <c r="AP138" s="182"/>
      <c r="AQ138" s="182"/>
      <c r="AR138" s="202"/>
      <c r="AS138" s="202"/>
      <c r="AT138" s="182"/>
      <c r="AU138" s="182"/>
      <c r="AV138" s="202"/>
      <c r="AW138" s="202"/>
      <c r="AX138" s="182"/>
      <c r="AY138" s="182"/>
      <c r="AZ138" s="202"/>
      <c r="BA138" s="202"/>
      <c r="BB138" s="182"/>
      <c r="BC138" s="182"/>
      <c r="BD138" s="182"/>
      <c r="BE138" s="202"/>
      <c r="BF138" s="202"/>
      <c r="BG138" s="203"/>
      <c r="BH138" s="182"/>
    </row>
    <row r="139" spans="1:60" s="21" customFormat="1" x14ac:dyDescent="0.3">
      <c r="A139" s="183"/>
      <c r="B139" s="183"/>
      <c r="D139" s="125"/>
      <c r="G139" s="107"/>
      <c r="H139" s="107"/>
      <c r="I139" s="107"/>
      <c r="J139" s="107"/>
      <c r="K139" s="107"/>
      <c r="L139" s="107"/>
      <c r="M139" s="334"/>
      <c r="N139" s="116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202"/>
      <c r="AD139" s="182"/>
      <c r="AE139" s="182"/>
      <c r="AF139" s="182"/>
      <c r="AG139" s="201"/>
      <c r="AH139" s="201"/>
      <c r="AI139" s="201"/>
      <c r="AJ139" s="182"/>
      <c r="AK139" s="201"/>
      <c r="AL139" s="201"/>
      <c r="AM139" s="201"/>
      <c r="AN139" s="182"/>
      <c r="AO139" s="182"/>
      <c r="AP139" s="182"/>
      <c r="AQ139" s="182"/>
      <c r="AR139" s="202"/>
      <c r="AS139" s="202"/>
      <c r="AT139" s="182"/>
      <c r="AU139" s="182"/>
      <c r="AV139" s="202"/>
      <c r="AW139" s="202"/>
      <c r="AX139" s="182"/>
      <c r="AY139" s="182"/>
      <c r="AZ139" s="202"/>
      <c r="BA139" s="202"/>
      <c r="BB139" s="182"/>
      <c r="BC139" s="182"/>
      <c r="BD139" s="182"/>
      <c r="BE139" s="202"/>
      <c r="BF139" s="202"/>
      <c r="BG139" s="203"/>
      <c r="BH139" s="182"/>
    </row>
    <row r="140" spans="1:60" s="21" customFormat="1" x14ac:dyDescent="0.3">
      <c r="A140" s="183"/>
      <c r="B140" s="183"/>
      <c r="D140" s="125"/>
      <c r="G140" s="107"/>
      <c r="H140" s="107"/>
      <c r="I140" s="107"/>
      <c r="J140" s="107"/>
      <c r="K140" s="107"/>
      <c r="L140" s="107"/>
      <c r="M140" s="334"/>
      <c r="N140" s="116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202"/>
      <c r="AD140" s="182"/>
      <c r="AE140" s="182"/>
      <c r="AF140" s="182"/>
      <c r="AG140" s="201"/>
      <c r="AH140" s="201"/>
      <c r="AI140" s="201"/>
      <c r="AJ140" s="182"/>
      <c r="AK140" s="201"/>
      <c r="AL140" s="201"/>
      <c r="AM140" s="201"/>
      <c r="AN140" s="182"/>
      <c r="AO140" s="182"/>
      <c r="AP140" s="182"/>
      <c r="AQ140" s="182"/>
      <c r="AR140" s="202"/>
      <c r="AS140" s="202"/>
      <c r="AT140" s="182"/>
      <c r="AU140" s="182"/>
      <c r="AV140" s="202"/>
      <c r="AW140" s="202"/>
      <c r="AX140" s="182"/>
      <c r="AY140" s="182"/>
      <c r="AZ140" s="202"/>
      <c r="BA140" s="202"/>
      <c r="BB140" s="182"/>
      <c r="BC140" s="182"/>
      <c r="BD140" s="182"/>
      <c r="BE140" s="202"/>
      <c r="BF140" s="202"/>
      <c r="BG140" s="203"/>
      <c r="BH140" s="182"/>
    </row>
    <row r="141" spans="1:60" s="21" customFormat="1" x14ac:dyDescent="0.3">
      <c r="A141" s="183"/>
      <c r="B141" s="183"/>
      <c r="D141" s="125"/>
      <c r="G141" s="107"/>
      <c r="H141" s="107"/>
      <c r="I141" s="107"/>
      <c r="J141" s="107"/>
      <c r="K141" s="107"/>
      <c r="L141" s="107"/>
      <c r="M141" s="334"/>
      <c r="N141" s="116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202"/>
      <c r="AD141" s="182"/>
      <c r="AE141" s="182"/>
      <c r="AF141" s="182"/>
      <c r="AG141" s="201"/>
      <c r="AH141" s="201"/>
      <c r="AI141" s="201"/>
      <c r="AJ141" s="182"/>
      <c r="AK141" s="201"/>
      <c r="AL141" s="201"/>
      <c r="AM141" s="201"/>
      <c r="AN141" s="182"/>
      <c r="AO141" s="182"/>
      <c r="AP141" s="182"/>
      <c r="AQ141" s="182"/>
      <c r="AR141" s="202"/>
      <c r="AS141" s="202"/>
      <c r="AT141" s="182"/>
      <c r="AU141" s="182"/>
      <c r="AV141" s="202"/>
      <c r="AW141" s="202"/>
      <c r="AX141" s="182"/>
      <c r="AY141" s="182"/>
      <c r="AZ141" s="202"/>
      <c r="BA141" s="202"/>
      <c r="BB141" s="182"/>
      <c r="BC141" s="182"/>
      <c r="BD141" s="182"/>
      <c r="BE141" s="202"/>
      <c r="BF141" s="202"/>
      <c r="BG141" s="203"/>
      <c r="BH141" s="182"/>
    </row>
    <row r="142" spans="1:60" s="21" customFormat="1" x14ac:dyDescent="0.3">
      <c r="A142" s="183"/>
      <c r="B142" s="183"/>
      <c r="D142" s="125"/>
      <c r="G142" s="107"/>
      <c r="H142" s="107"/>
      <c r="I142" s="107"/>
      <c r="J142" s="107"/>
      <c r="K142" s="107"/>
      <c r="L142" s="107"/>
      <c r="M142" s="334"/>
      <c r="N142" s="116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202"/>
      <c r="AD142" s="182"/>
      <c r="AE142" s="182"/>
      <c r="AF142" s="182"/>
      <c r="AG142" s="201"/>
      <c r="AH142" s="201"/>
      <c r="AI142" s="201"/>
      <c r="AJ142" s="182"/>
      <c r="AK142" s="201"/>
      <c r="AL142" s="201"/>
      <c r="AM142" s="201"/>
      <c r="AN142" s="182"/>
      <c r="AO142" s="182"/>
      <c r="AP142" s="182"/>
      <c r="AQ142" s="182"/>
      <c r="AR142" s="202"/>
      <c r="AS142" s="202"/>
      <c r="AT142" s="182"/>
      <c r="AU142" s="182"/>
      <c r="AV142" s="202"/>
      <c r="AW142" s="202"/>
      <c r="AX142" s="182"/>
      <c r="AY142" s="182"/>
      <c r="AZ142" s="202"/>
      <c r="BA142" s="202"/>
      <c r="BB142" s="182"/>
      <c r="BC142" s="182"/>
      <c r="BD142" s="182"/>
      <c r="BE142" s="202"/>
      <c r="BF142" s="202"/>
      <c r="BG142" s="203"/>
      <c r="BH142" s="182"/>
    </row>
    <row r="143" spans="1:60" s="21" customFormat="1" x14ac:dyDescent="0.3">
      <c r="A143" s="183"/>
      <c r="B143" s="183"/>
      <c r="D143" s="125"/>
      <c r="G143" s="107"/>
      <c r="H143" s="107"/>
      <c r="I143" s="107"/>
      <c r="J143" s="107"/>
      <c r="K143" s="107"/>
      <c r="L143" s="107"/>
      <c r="M143" s="334"/>
      <c r="N143" s="116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202"/>
      <c r="AD143" s="182"/>
      <c r="AE143" s="182"/>
      <c r="AF143" s="182"/>
      <c r="AG143" s="201"/>
      <c r="AH143" s="201"/>
      <c r="AI143" s="201"/>
      <c r="AJ143" s="182"/>
      <c r="AK143" s="201"/>
      <c r="AL143" s="201"/>
      <c r="AM143" s="201"/>
      <c r="AN143" s="182"/>
      <c r="AO143" s="182"/>
      <c r="AP143" s="182"/>
      <c r="AQ143" s="182"/>
      <c r="AR143" s="202"/>
      <c r="AS143" s="202"/>
      <c r="AT143" s="182"/>
      <c r="AU143" s="182"/>
      <c r="AV143" s="202"/>
      <c r="AW143" s="202"/>
      <c r="AX143" s="182"/>
      <c r="AY143" s="182"/>
      <c r="AZ143" s="202"/>
      <c r="BA143" s="202"/>
      <c r="BB143" s="182"/>
      <c r="BC143" s="182"/>
      <c r="BD143" s="182"/>
      <c r="BE143" s="202"/>
      <c r="BF143" s="202"/>
      <c r="BG143" s="203"/>
      <c r="BH143" s="182"/>
    </row>
    <row r="144" spans="1:60" s="21" customFormat="1" x14ac:dyDescent="0.3">
      <c r="A144" s="183"/>
      <c r="B144" s="183"/>
      <c r="D144" s="125"/>
      <c r="G144" s="107"/>
      <c r="H144" s="107"/>
      <c r="I144" s="107"/>
      <c r="J144" s="107"/>
      <c r="K144" s="107"/>
      <c r="L144" s="107"/>
      <c r="M144" s="334"/>
      <c r="N144" s="116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202"/>
      <c r="AD144" s="182"/>
      <c r="AE144" s="182"/>
      <c r="AF144" s="182"/>
      <c r="AG144" s="201"/>
      <c r="AH144" s="201"/>
      <c r="AI144" s="201"/>
      <c r="AJ144" s="182"/>
      <c r="AK144" s="201"/>
      <c r="AL144" s="201"/>
      <c r="AM144" s="201"/>
      <c r="AN144" s="182"/>
      <c r="AO144" s="182"/>
      <c r="AP144" s="182"/>
      <c r="AQ144" s="182"/>
      <c r="AR144" s="202"/>
      <c r="AS144" s="202"/>
      <c r="AT144" s="182"/>
      <c r="AU144" s="182"/>
      <c r="AV144" s="202"/>
      <c r="AW144" s="202"/>
      <c r="AX144" s="182"/>
      <c r="AY144" s="182"/>
      <c r="AZ144" s="202"/>
      <c r="BA144" s="202"/>
      <c r="BB144" s="182"/>
      <c r="BC144" s="182"/>
      <c r="BD144" s="182"/>
      <c r="BE144" s="202"/>
      <c r="BF144" s="202"/>
      <c r="BG144" s="203"/>
      <c r="BH144" s="182"/>
    </row>
    <row r="145" spans="1:60" s="21" customFormat="1" x14ac:dyDescent="0.3">
      <c r="A145" s="183"/>
      <c r="B145" s="183"/>
      <c r="D145" s="125"/>
      <c r="G145" s="107"/>
      <c r="H145" s="107"/>
      <c r="I145" s="107"/>
      <c r="J145" s="107"/>
      <c r="K145" s="107"/>
      <c r="L145" s="107"/>
      <c r="M145" s="334"/>
      <c r="N145" s="116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202"/>
      <c r="AD145" s="182"/>
      <c r="AE145" s="182"/>
      <c r="AF145" s="182"/>
      <c r="AG145" s="201"/>
      <c r="AH145" s="201"/>
      <c r="AI145" s="201"/>
      <c r="AJ145" s="182"/>
      <c r="AK145" s="201"/>
      <c r="AL145" s="201"/>
      <c r="AM145" s="201"/>
      <c r="AN145" s="182"/>
      <c r="AO145" s="182"/>
      <c r="AP145" s="182"/>
      <c r="AQ145" s="182"/>
      <c r="AR145" s="202"/>
      <c r="AS145" s="202"/>
      <c r="AT145" s="182"/>
      <c r="AU145" s="182"/>
      <c r="AV145" s="202"/>
      <c r="AW145" s="202"/>
      <c r="AX145" s="182"/>
      <c r="AY145" s="182"/>
      <c r="AZ145" s="202"/>
      <c r="BA145" s="202"/>
      <c r="BB145" s="182"/>
      <c r="BC145" s="182"/>
      <c r="BD145" s="182"/>
      <c r="BE145" s="202"/>
      <c r="BF145" s="202"/>
      <c r="BG145" s="203"/>
      <c r="BH145" s="182"/>
    </row>
    <row r="146" spans="1:60" s="21" customFormat="1" x14ac:dyDescent="0.3">
      <c r="A146" s="183"/>
      <c r="B146" s="183"/>
      <c r="D146" s="125"/>
      <c r="G146" s="107"/>
      <c r="H146" s="107"/>
      <c r="I146" s="107"/>
      <c r="J146" s="107"/>
      <c r="K146" s="107"/>
      <c r="L146" s="107"/>
      <c r="M146" s="334"/>
      <c r="N146" s="116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202"/>
      <c r="AD146" s="182"/>
      <c r="AE146" s="182"/>
      <c r="AF146" s="182"/>
      <c r="AG146" s="201"/>
      <c r="AH146" s="201"/>
      <c r="AI146" s="201"/>
      <c r="AJ146" s="182"/>
      <c r="AK146" s="201"/>
      <c r="AL146" s="201"/>
      <c r="AM146" s="201"/>
      <c r="AN146" s="182"/>
      <c r="AO146" s="182"/>
      <c r="AP146" s="182"/>
      <c r="AQ146" s="182"/>
      <c r="AR146" s="202"/>
      <c r="AS146" s="202"/>
      <c r="AT146" s="182"/>
      <c r="AU146" s="182"/>
      <c r="AV146" s="202"/>
      <c r="AW146" s="202"/>
      <c r="AX146" s="182"/>
      <c r="AY146" s="182"/>
      <c r="AZ146" s="202"/>
      <c r="BA146" s="202"/>
      <c r="BB146" s="182"/>
      <c r="BC146" s="182"/>
      <c r="BD146" s="182"/>
      <c r="BE146" s="202"/>
      <c r="BF146" s="202"/>
      <c r="BG146" s="203"/>
      <c r="BH146" s="182"/>
    </row>
    <row r="147" spans="1:60" s="21" customFormat="1" x14ac:dyDescent="0.3">
      <c r="A147" s="183"/>
      <c r="B147" s="183"/>
      <c r="D147" s="125"/>
      <c r="G147" s="107"/>
      <c r="H147" s="107"/>
      <c r="I147" s="107"/>
      <c r="J147" s="107"/>
      <c r="K147" s="107"/>
      <c r="L147" s="107"/>
      <c r="M147" s="334"/>
      <c r="N147" s="116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202"/>
      <c r="AD147" s="182"/>
      <c r="AE147" s="182"/>
      <c r="AF147" s="182"/>
      <c r="AG147" s="201"/>
      <c r="AH147" s="201"/>
      <c r="AI147" s="201"/>
      <c r="AJ147" s="182"/>
      <c r="AK147" s="201"/>
      <c r="AL147" s="201"/>
      <c r="AM147" s="201"/>
      <c r="AN147" s="182"/>
      <c r="AO147" s="182"/>
      <c r="AP147" s="182"/>
      <c r="AQ147" s="182"/>
      <c r="AR147" s="202"/>
      <c r="AS147" s="202"/>
      <c r="AT147" s="182"/>
      <c r="AU147" s="182"/>
      <c r="AV147" s="202"/>
      <c r="AW147" s="202"/>
      <c r="AX147" s="182"/>
      <c r="AY147" s="182"/>
      <c r="AZ147" s="202"/>
      <c r="BA147" s="202"/>
      <c r="BB147" s="182"/>
      <c r="BC147" s="182"/>
      <c r="BD147" s="182"/>
      <c r="BE147" s="202"/>
      <c r="BF147" s="202"/>
      <c r="BG147" s="203"/>
      <c r="BH147" s="182"/>
    </row>
    <row r="148" spans="1:60" s="21" customFormat="1" x14ac:dyDescent="0.3">
      <c r="A148" s="183"/>
      <c r="B148" s="183"/>
      <c r="D148" s="125"/>
      <c r="G148" s="107"/>
      <c r="H148" s="107"/>
      <c r="I148" s="107"/>
      <c r="J148" s="107"/>
      <c r="K148" s="107"/>
      <c r="L148" s="107"/>
      <c r="M148" s="334"/>
      <c r="N148" s="116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202"/>
      <c r="AD148" s="182"/>
      <c r="AE148" s="182"/>
      <c r="AF148" s="182"/>
      <c r="AG148" s="201"/>
      <c r="AH148" s="201"/>
      <c r="AI148" s="201"/>
      <c r="AJ148" s="182"/>
      <c r="AK148" s="201"/>
      <c r="AL148" s="201"/>
      <c r="AM148" s="201"/>
      <c r="AN148" s="182"/>
      <c r="AO148" s="182"/>
      <c r="AP148" s="182"/>
      <c r="AQ148" s="182"/>
      <c r="AR148" s="202"/>
      <c r="AS148" s="202"/>
      <c r="AT148" s="182"/>
      <c r="AU148" s="182"/>
      <c r="AV148" s="202"/>
      <c r="AW148" s="202"/>
      <c r="AX148" s="182"/>
      <c r="AY148" s="182"/>
      <c r="AZ148" s="202"/>
      <c r="BA148" s="202"/>
      <c r="BB148" s="182"/>
      <c r="BC148" s="182"/>
      <c r="BD148" s="182"/>
      <c r="BE148" s="202"/>
      <c r="BF148" s="202"/>
      <c r="BG148" s="203"/>
      <c r="BH148" s="182"/>
    </row>
  </sheetData>
  <sheetProtection algorithmName="SHA-512" hashValue="/Dz0/0eW+OmqPjxjT1YbCdxzSr/HhkuvTDaStM/Iugc9dMwHDsTu5OyfDNvKHkv7iyPZQ0GJEW1XZcc6drNEyg==" saltValue="Yurtu4TtRZrYkVTf5SKCXw==" spinCount="100000" sheet="1" objects="1" scenarios="1"/>
  <protectedRanges>
    <protectedRange sqref="D35:D49 D15 D11 D17 D52:D64" name="Auswahlfelder"/>
  </protectedRanges>
  <mergeCells count="22">
    <mergeCell ref="BG78:BH78"/>
    <mergeCell ref="AP78:AS78"/>
    <mergeCell ref="G7:G8"/>
    <mergeCell ref="D71:D72"/>
    <mergeCell ref="G71:L71"/>
    <mergeCell ref="D74:D76"/>
    <mergeCell ref="AX78:BA78"/>
    <mergeCell ref="AT78:AW78"/>
    <mergeCell ref="BB78:BF78"/>
    <mergeCell ref="AF78:AI78"/>
    <mergeCell ref="AJ78:AM78"/>
    <mergeCell ref="Y78:Z78"/>
    <mergeCell ref="G4:L4"/>
    <mergeCell ref="G5:L5"/>
    <mergeCell ref="M2:O2"/>
    <mergeCell ref="E1:F1"/>
    <mergeCell ref="E2:F2"/>
    <mergeCell ref="E3:F3"/>
    <mergeCell ref="M1:O1"/>
    <mergeCell ref="G1:L1"/>
    <mergeCell ref="G2:L2"/>
    <mergeCell ref="G3:L3"/>
  </mergeCells>
  <phoneticPr fontId="6" type="noConversion"/>
  <conditionalFormatting sqref="G76:L76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:AG22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:AH22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:AI22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L26 G28:L28 G35:L49 G11:L13 G15:L15 G17:L24 G52:L52 G57:L61">
    <cfRule type="expression" dxfId="70" priority="386">
      <formula>AND($D11="x",G11="")</formula>
    </cfRule>
    <cfRule type="expression" dxfId="69" priority="399">
      <formula>AND($D11="x",G11="µ")</formula>
    </cfRule>
  </conditionalFormatting>
  <conditionalFormatting sqref="G72:L72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68" priority="424" operator="lessThan">
      <formula>0</formula>
    </cfRule>
  </conditionalFormatting>
  <conditionalFormatting sqref="G65:L65">
    <cfRule type="top10" dxfId="67" priority="401" bottom="1" rank="1"/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6:H66 G69:K69 G68:J68 L68 G67:I67 K67:L67 J66:L66">
    <cfRule type="cellIs" dxfId="66" priority="109" operator="greaterThan">
      <formula>0</formula>
    </cfRule>
  </conditionalFormatting>
  <conditionalFormatting sqref="G27:L27">
    <cfRule type="expression" dxfId="65" priority="106">
      <formula>AND($D27="x",G27="")</formula>
    </cfRule>
    <cfRule type="expression" dxfId="64" priority="107">
      <formula>AND($D27="x",G27="µ")</formula>
    </cfRule>
  </conditionalFormatting>
  <conditionalFormatting sqref="G25:L25">
    <cfRule type="expression" dxfId="63" priority="104">
      <formula>AND($D25="x",G25="")</formula>
    </cfRule>
    <cfRule type="expression" dxfId="62" priority="105">
      <formula>AND($D25="x",G25="µ")</formula>
    </cfRule>
  </conditionalFormatting>
  <conditionalFormatting sqref="G27:L27">
    <cfRule type="expression" dxfId="61" priority="102">
      <formula>AND($D27="x",G27="")</formula>
    </cfRule>
    <cfRule type="expression" dxfId="60" priority="103">
      <formula>AND($D27="x",G27="µ")</formula>
    </cfRule>
  </conditionalFormatting>
  <conditionalFormatting sqref="G28:L28">
    <cfRule type="expression" dxfId="59" priority="100">
      <formula>AND($D28="x",G28="")</formula>
    </cfRule>
    <cfRule type="expression" dxfId="58" priority="101">
      <formula>AND($D28="x",G28="µ")</formula>
    </cfRule>
  </conditionalFormatting>
  <conditionalFormatting sqref="G28:L28">
    <cfRule type="expression" dxfId="57" priority="98">
      <formula>AND($D28="x",G28="")</formula>
    </cfRule>
    <cfRule type="expression" dxfId="56" priority="99">
      <formula>AND($D28="x",G28="µ")</formula>
    </cfRule>
  </conditionalFormatting>
  <conditionalFormatting sqref="G28:L28">
    <cfRule type="expression" dxfId="55" priority="96">
      <formula>AND($D28="x",G28="")</formula>
    </cfRule>
    <cfRule type="expression" dxfId="54" priority="97">
      <formula>AND($D28="x",G28="µ")</formula>
    </cfRule>
  </conditionalFormatting>
  <conditionalFormatting sqref="G29:L29">
    <cfRule type="expression" dxfId="53" priority="88">
      <formula>AND($D29="x",G29="")</formula>
    </cfRule>
    <cfRule type="expression" dxfId="52" priority="89">
      <formula>AND($D29="x",G29="µ")</formula>
    </cfRule>
  </conditionalFormatting>
  <conditionalFormatting sqref="G29:L29">
    <cfRule type="expression" dxfId="51" priority="86">
      <formula>AND($D29="x",G29="")</formula>
    </cfRule>
    <cfRule type="expression" dxfId="50" priority="87">
      <formula>AND($D29="x",G29="µ")</formula>
    </cfRule>
  </conditionalFormatting>
  <conditionalFormatting sqref="G29:L29">
    <cfRule type="expression" dxfId="49" priority="84">
      <formula>AND($D29="x",G29="")</formula>
    </cfRule>
    <cfRule type="expression" dxfId="48" priority="85">
      <formula>AND($D29="x",G29="µ")</formula>
    </cfRule>
  </conditionalFormatting>
  <conditionalFormatting sqref="G29:L29">
    <cfRule type="expression" dxfId="47" priority="82">
      <formula>AND($D29="x",G29="")</formula>
    </cfRule>
    <cfRule type="expression" dxfId="46" priority="83">
      <formula>AND($D29="x",G29="µ")</formula>
    </cfRule>
  </conditionalFormatting>
  <conditionalFormatting sqref="G30:L30">
    <cfRule type="expression" dxfId="45" priority="76">
      <formula>AND($D30="x",G30="")</formula>
    </cfRule>
    <cfRule type="expression" dxfId="44" priority="77">
      <formula>AND($D30="x",G30="µ")</formula>
    </cfRule>
  </conditionalFormatting>
  <conditionalFormatting sqref="G30:L30">
    <cfRule type="expression" dxfId="43" priority="74">
      <formula>AND($D30="x",G30="")</formula>
    </cfRule>
    <cfRule type="expression" dxfId="42" priority="75">
      <formula>AND($D30="x",G30="µ")</formula>
    </cfRule>
  </conditionalFormatting>
  <conditionalFormatting sqref="G30:L30">
    <cfRule type="expression" dxfId="41" priority="72">
      <formula>AND($D30="x",G30="")</formula>
    </cfRule>
    <cfRule type="expression" dxfId="40" priority="73">
      <formula>AND($D30="x",G30="µ")</formula>
    </cfRule>
  </conditionalFormatting>
  <conditionalFormatting sqref="G30:L30">
    <cfRule type="expression" dxfId="39" priority="70">
      <formula>AND($D30="x",G30="")</formula>
    </cfRule>
    <cfRule type="expression" dxfId="38" priority="71">
      <formula>AND($D30="x",G30="µ")</formula>
    </cfRule>
  </conditionalFormatting>
  <conditionalFormatting sqref="G31:L31">
    <cfRule type="expression" dxfId="37" priority="66">
      <formula>AND($D31="x",G31="")</formula>
    </cfRule>
    <cfRule type="expression" dxfId="36" priority="67">
      <formula>AND($D31="x",G31="µ")</formula>
    </cfRule>
  </conditionalFormatting>
  <conditionalFormatting sqref="G31:L31">
    <cfRule type="expression" dxfId="35" priority="64">
      <formula>AND($D31="x",G31="")</formula>
    </cfRule>
    <cfRule type="expression" dxfId="34" priority="65">
      <formula>AND($D31="x",G31="µ")</formula>
    </cfRule>
  </conditionalFormatting>
  <conditionalFormatting sqref="G31:L31">
    <cfRule type="expression" dxfId="33" priority="62">
      <formula>AND($D31="x",G31="")</formula>
    </cfRule>
    <cfRule type="expression" dxfId="32" priority="63">
      <formula>AND($D31="x",G31="µ")</formula>
    </cfRule>
  </conditionalFormatting>
  <conditionalFormatting sqref="G31:L31">
    <cfRule type="expression" dxfId="31" priority="60">
      <formula>AND($D31="x",G31="")</formula>
    </cfRule>
    <cfRule type="expression" dxfId="30" priority="61">
      <formula>AND($D31="x",G31="µ")</formula>
    </cfRule>
  </conditionalFormatting>
  <conditionalFormatting sqref="G32:L33">
    <cfRule type="expression" dxfId="29" priority="58">
      <formula>AND($D32="x",G32="")</formula>
    </cfRule>
    <cfRule type="expression" dxfId="28" priority="59">
      <formula>AND($D32="x",G32="µ")</formula>
    </cfRule>
  </conditionalFormatting>
  <conditionalFormatting sqref="G32:L33">
    <cfRule type="expression" dxfId="27" priority="56">
      <formula>AND($D32="x",G32="")</formula>
    </cfRule>
    <cfRule type="expression" dxfId="26" priority="57">
      <formula>AND($D32="x",G32="µ")</formula>
    </cfRule>
  </conditionalFormatting>
  <conditionalFormatting sqref="G32:L33">
    <cfRule type="expression" dxfId="25" priority="54">
      <formula>AND($D32="x",G32="")</formula>
    </cfRule>
    <cfRule type="expression" dxfId="24" priority="55">
      <formula>AND($D32="x",G32="µ")</formula>
    </cfRule>
  </conditionalFormatting>
  <conditionalFormatting sqref="G32:L33">
    <cfRule type="expression" dxfId="23" priority="52">
      <formula>AND($D32="x",G32="")</formula>
    </cfRule>
    <cfRule type="expression" dxfId="22" priority="53">
      <formula>AND($D32="x",G32="µ")</formula>
    </cfRule>
  </conditionalFormatting>
  <conditionalFormatting sqref="G34:L34">
    <cfRule type="expression" dxfId="21" priority="50">
      <formula>AND($D34="x",G34="")</formula>
    </cfRule>
    <cfRule type="expression" dxfId="20" priority="51">
      <formula>AND($D34="x",G34="µ")</formula>
    </cfRule>
  </conditionalFormatting>
  <conditionalFormatting sqref="G34:L34">
    <cfRule type="expression" dxfId="19" priority="48">
      <formula>AND($D34="x",G34="")</formula>
    </cfRule>
    <cfRule type="expression" dxfId="18" priority="49">
      <formula>AND($D34="x",G34="µ")</formula>
    </cfRule>
  </conditionalFormatting>
  <conditionalFormatting sqref="G34:L34">
    <cfRule type="expression" dxfId="17" priority="46">
      <formula>AND($D34="x",G34="")</formula>
    </cfRule>
    <cfRule type="expression" dxfId="16" priority="47">
      <formula>AND($D34="x",G34="µ")</formula>
    </cfRule>
  </conditionalFormatting>
  <conditionalFormatting sqref="G34:L34">
    <cfRule type="expression" dxfId="15" priority="44">
      <formula>AND($D34="x",G34="")</formula>
    </cfRule>
    <cfRule type="expression" dxfId="14" priority="45">
      <formula>AND($D34="x",G34="µ")</formula>
    </cfRule>
  </conditionalFormatting>
  <conditionalFormatting sqref="AB82:AB10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4:L64">
    <cfRule type="expression" dxfId="13" priority="21">
      <formula>AND($D64="x",G64="")</formula>
    </cfRule>
    <cfRule type="expression" dxfId="12" priority="22">
      <formula>AND($D64="x",G64="µ")</formula>
    </cfRule>
  </conditionalFormatting>
  <conditionalFormatting sqref="G62:L62">
    <cfRule type="expression" dxfId="11" priority="17">
      <formula>AND($D62="x",G62="")</formula>
    </cfRule>
    <cfRule type="expression" dxfId="10" priority="18">
      <formula>AND($D62="x",G62="µ")</formula>
    </cfRule>
  </conditionalFormatting>
  <conditionalFormatting sqref="G14:L14">
    <cfRule type="expression" dxfId="9" priority="12">
      <formula>AND($D14="x",G14="")</formula>
    </cfRule>
    <cfRule type="expression" dxfId="8" priority="13">
      <formula>AND($D14="x",G14="µ")</formula>
    </cfRule>
  </conditionalFormatting>
  <conditionalFormatting sqref="G63:L63">
    <cfRule type="expression" dxfId="7" priority="10">
      <formula>AND($D63="x",G63="")</formula>
    </cfRule>
    <cfRule type="expression" dxfId="6" priority="11">
      <formula>AND($D63="x",G63="µ")</formula>
    </cfRule>
  </conditionalFormatting>
  <conditionalFormatting sqref="G16:L16">
    <cfRule type="expression" dxfId="5" priority="5">
      <formula>AND($D16="x",G16="")</formula>
    </cfRule>
    <cfRule type="expression" dxfId="4" priority="6">
      <formula>AND($D16="x",G16="µ")</formula>
    </cfRule>
  </conditionalFormatting>
  <conditionalFormatting sqref="G53:L53">
    <cfRule type="expression" dxfId="3" priority="3">
      <formula>AND($D53="x",G53="")</formula>
    </cfRule>
    <cfRule type="expression" dxfId="2" priority="4">
      <formula>AND($D53="x",G53="µ")</formula>
    </cfRule>
  </conditionalFormatting>
  <conditionalFormatting sqref="G54:L56">
    <cfRule type="expression" dxfId="1" priority="1">
      <formula>AND($D54="x",G54="")</formula>
    </cfRule>
    <cfRule type="expression" dxfId="0" priority="2">
      <formula>AND($D54="x",G54="µ")</formula>
    </cfRule>
  </conditionalFormatting>
  <dataValidations count="1">
    <dataValidation type="list" allowBlank="1" showInputMessage="1" showErrorMessage="1" sqref="D11:D49 D52:D64" xr:uid="{D30EEA0A-86A0-48D5-A10D-3ABC9F2C4A3A}">
      <formula1>$D$114:$D$115</formula1>
    </dataValidation>
  </dataValidations>
  <hyperlinks>
    <hyperlink ref="M2" r:id="rId1" xr:uid="{F6FD11AA-304E-4AFD-B624-56EDA608C84C}"/>
    <hyperlink ref="G3" r:id="rId2" xr:uid="{258F6FF8-9B4F-4F08-9226-7DB580773B75}"/>
  </hyperlinks>
  <pageMargins left="0.15748031496062992" right="7.874015748031496E-2" top="0.55000000000000004" bottom="0.08" header="0.31496062992125984" footer="0.06"/>
  <pageSetup paperSize="9" scale="49" fitToHeight="0" orientation="landscape" horizontalDpi="4294967293" r:id="rId3"/>
  <rowBreaks count="2" manualBreakCount="2">
    <brk id="49" min="3" max="14" man="1"/>
    <brk id="77" min="3" max="14" man="1"/>
  </rowBreaks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6489-48CB-4CB3-A14C-D94BAC65D341}">
  <dimension ref="B1:AR47"/>
  <sheetViews>
    <sheetView showGridLines="0" workbookViewId="0">
      <selection activeCell="T49" sqref="T49"/>
    </sheetView>
  </sheetViews>
  <sheetFormatPr baseColWidth="10" defaultRowHeight="15" x14ac:dyDescent="0.25"/>
  <cols>
    <col min="3" max="3" width="14.7109375" style="49" customWidth="1"/>
    <col min="4" max="4" width="19.5703125" style="49" customWidth="1"/>
    <col min="5" max="5" width="13.140625" style="50" customWidth="1"/>
    <col min="6" max="6" width="18" style="50" customWidth="1"/>
    <col min="7" max="7" width="15.140625" style="50" customWidth="1"/>
    <col min="8" max="12" width="20" style="50" customWidth="1"/>
    <col min="13" max="14" width="11" style="50" customWidth="1"/>
    <col min="15" max="24" width="11.42578125" style="67"/>
    <col min="34" max="34" width="11.42578125" style="51"/>
    <col min="35" max="35" width="11.42578125" style="52"/>
    <col min="36" max="36" width="11.42578125" style="51"/>
    <col min="37" max="37" width="11.42578125" style="52"/>
    <col min="38" max="38" width="11.42578125" style="65"/>
    <col min="39" max="39" width="11.42578125" style="68"/>
    <col min="40" max="40" width="11.42578125" style="51"/>
    <col min="41" max="41" width="11.42578125" style="52"/>
    <col min="42" max="42" width="5.28515625" bestFit="1" customWidth="1"/>
    <col min="43" max="44" width="4.5703125" bestFit="1" customWidth="1"/>
  </cols>
  <sheetData>
    <row r="1" spans="2:44" x14ac:dyDescent="0.25">
      <c r="C1" s="49" t="s">
        <v>73</v>
      </c>
      <c r="D1" s="49" t="s">
        <v>73</v>
      </c>
      <c r="E1" s="50" t="s">
        <v>74</v>
      </c>
      <c r="F1" s="50" t="s">
        <v>74</v>
      </c>
      <c r="G1" s="50" t="s">
        <v>74</v>
      </c>
      <c r="H1" s="50" t="s">
        <v>74</v>
      </c>
      <c r="I1" s="50" t="s">
        <v>74</v>
      </c>
      <c r="J1" s="50" t="s">
        <v>74</v>
      </c>
      <c r="K1" s="50" t="s">
        <v>74</v>
      </c>
      <c r="L1" s="50" t="s">
        <v>74</v>
      </c>
      <c r="M1" s="50" t="s">
        <v>74</v>
      </c>
      <c r="N1" s="50" t="s">
        <v>74</v>
      </c>
      <c r="O1" s="49" t="s">
        <v>73</v>
      </c>
      <c r="P1" s="49" t="s">
        <v>73</v>
      </c>
      <c r="Q1" s="49" t="s">
        <v>73</v>
      </c>
      <c r="R1" s="49" t="s">
        <v>73</v>
      </c>
      <c r="S1" s="49" t="s">
        <v>73</v>
      </c>
      <c r="T1" s="49" t="s">
        <v>73</v>
      </c>
      <c r="U1" s="49"/>
      <c r="V1" s="49"/>
      <c r="W1" s="49" t="s">
        <v>73</v>
      </c>
      <c r="X1" s="49" t="s">
        <v>73</v>
      </c>
    </row>
    <row r="2" spans="2:44" x14ac:dyDescent="0.25">
      <c r="B2" t="s">
        <v>52</v>
      </c>
      <c r="C2" s="49" t="s">
        <v>191</v>
      </c>
      <c r="D2" s="49" t="s">
        <v>192</v>
      </c>
      <c r="E2" s="50" t="s">
        <v>76</v>
      </c>
      <c r="F2" s="50" t="s">
        <v>77</v>
      </c>
      <c r="G2" s="50" t="s">
        <v>78</v>
      </c>
      <c r="H2" s="50" t="s">
        <v>79</v>
      </c>
      <c r="I2" s="50" t="s">
        <v>80</v>
      </c>
      <c r="J2" s="50" t="s">
        <v>81</v>
      </c>
      <c r="K2" s="50" t="s">
        <v>102</v>
      </c>
      <c r="L2" s="50" t="s">
        <v>103</v>
      </c>
      <c r="M2" s="49" t="s">
        <v>195</v>
      </c>
      <c r="N2" s="49" t="s">
        <v>196</v>
      </c>
      <c r="O2" s="49" t="s">
        <v>82</v>
      </c>
      <c r="P2" s="49" t="s">
        <v>83</v>
      </c>
      <c r="Q2" s="49" t="s">
        <v>84</v>
      </c>
      <c r="R2" s="49" t="s">
        <v>85</v>
      </c>
      <c r="S2" s="49" t="s">
        <v>86</v>
      </c>
      <c r="T2" s="49" t="s">
        <v>87</v>
      </c>
      <c r="U2" s="49" t="s">
        <v>100</v>
      </c>
      <c r="V2" s="49" t="s">
        <v>101</v>
      </c>
      <c r="W2" s="49" t="s">
        <v>193</v>
      </c>
      <c r="X2" s="49" t="s">
        <v>194</v>
      </c>
      <c r="Y2" s="53" t="s">
        <v>88</v>
      </c>
      <c r="Z2" s="53" t="s">
        <v>89</v>
      </c>
      <c r="AA2" s="53" t="s">
        <v>90</v>
      </c>
      <c r="AB2" s="53" t="s">
        <v>91</v>
      </c>
      <c r="AC2" s="53" t="s">
        <v>92</v>
      </c>
      <c r="AD2" s="53" t="s">
        <v>93</v>
      </c>
      <c r="AE2" s="53" t="s">
        <v>94</v>
      </c>
      <c r="AF2" s="53" t="s">
        <v>95</v>
      </c>
      <c r="AH2"/>
      <c r="AI2"/>
      <c r="AJ2"/>
      <c r="AK2"/>
      <c r="AL2"/>
      <c r="AM2"/>
      <c r="AN2"/>
      <c r="AO2"/>
    </row>
    <row r="3" spans="2:44" x14ac:dyDescent="0.25">
      <c r="B3">
        <v>0</v>
      </c>
      <c r="C3" s="49">
        <v>0</v>
      </c>
      <c r="D3" s="49">
        <v>0</v>
      </c>
      <c r="E3" s="50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370">
        <v>0</v>
      </c>
      <c r="V3" s="370">
        <v>0</v>
      </c>
      <c r="W3" s="49">
        <f>'Aventuria - Mythen &amp; Legenden'!Y80</f>
        <v>0</v>
      </c>
      <c r="X3" s="49">
        <f>'Aventuria - Mythen &amp; Legenden'!Z80</f>
        <v>0</v>
      </c>
      <c r="Y3" s="55">
        <f>Tabelle3[[#This Row],[Nedime (€)]]/C$24</f>
        <v>0</v>
      </c>
      <c r="Z3" s="55">
        <f>Tabelle3[[#This Row],[Nedime (Backer)]]/D$24</f>
        <v>0</v>
      </c>
      <c r="AA3" s="55">
        <f>Tabelle3[[#This Row],[Thorwal (€)]]/O$24</f>
        <v>0</v>
      </c>
      <c r="AB3" s="55">
        <f>Tabelle3[[#This Row],[Thorwal (Backer)]]/P$24</f>
        <v>0</v>
      </c>
      <c r="AC3" s="55">
        <f>Tabelle3[[#This Row],[Werkzeuge (€)]]/Q$24</f>
        <v>0</v>
      </c>
      <c r="AD3" s="55">
        <f>Tabelle3[[#This Row],[Werkzeuge (Backer)]]/R$24</f>
        <v>0</v>
      </c>
      <c r="AE3" s="55">
        <f>Tabelle3[[#This Row],[Mythos (€)]]/S$24</f>
        <v>0</v>
      </c>
      <c r="AF3" s="55">
        <f>Tabelle3[[#This Row],[Mythos (Backer)]]/T$24</f>
        <v>0</v>
      </c>
      <c r="AH3"/>
      <c r="AI3"/>
      <c r="AJ3"/>
      <c r="AK3"/>
      <c r="AL3"/>
      <c r="AM3"/>
      <c r="AN3"/>
      <c r="AO3"/>
    </row>
    <row r="4" spans="2:44" x14ac:dyDescent="0.25">
      <c r="B4">
        <v>1</v>
      </c>
      <c r="C4" s="49">
        <v>14771</v>
      </c>
      <c r="D4" s="49">
        <v>73</v>
      </c>
      <c r="E4" s="50">
        <f>Tabelle3[[#This Row],[Thorwal (€)]]/O24*E24</f>
        <v>15220.890095815445</v>
      </c>
      <c r="F4" s="50">
        <f>Tabelle3[[#This Row],[Thorwal (Backer)]]/P24*F24</f>
        <v>110.36895674300254</v>
      </c>
      <c r="G4" s="50">
        <f>Tabelle3[[#This Row],[Werkzeuge (€)]]/$Q$24*$G$24</f>
        <v>15879.347283058034</v>
      </c>
      <c r="H4" s="50">
        <f>Tabelle3[[#This Row],[Werkzeuge (Backer)]]/$R$24*$H$24</f>
        <v>82.160052910052912</v>
      </c>
      <c r="I4" s="57">
        <f>Tabelle3[[#This Row],[Mythos (€)]]/$S$24*$I$24</f>
        <v>8008.0810450070085</v>
      </c>
      <c r="J4" s="57">
        <f>Tabelle3[[#This Row],[Mythos (Backer)]]/$T$24*$J$24</f>
        <v>48.804500703234879</v>
      </c>
      <c r="K4" s="50">
        <f>Tabelle3[[#This Row],[DSK (€)]]/$U$24*$I$24</f>
        <v>18321.783592211064</v>
      </c>
      <c r="L4" s="50">
        <f>Tabelle3[[#This Row],[DSK (Backer)]]/$V$24*$L$24</f>
        <v>103.14786585365853</v>
      </c>
      <c r="M4" s="50">
        <f>Tabelle3[[#This Row],[Mythen (€)]]/$W$24*$M$24</f>
        <v>13585.517272030311</v>
      </c>
      <c r="N4" s="50">
        <f>Tabelle3[[#This Row],[Mythen (Backer)]]/$X$24*$N$24</f>
        <v>80.779352226720647</v>
      </c>
      <c r="O4" s="49">
        <v>65000</v>
      </c>
      <c r="P4" s="49">
        <v>500</v>
      </c>
      <c r="Q4" s="49">
        <v>43437</v>
      </c>
      <c r="R4" s="49">
        <v>179</v>
      </c>
      <c r="S4" s="56">
        <f>S3+($S$6-$S$3)/3</f>
        <v>15333.333333333334</v>
      </c>
      <c r="T4" s="56">
        <f>T3+($T$6-$T$3)/3</f>
        <v>100</v>
      </c>
      <c r="U4" s="370">
        <v>36402</v>
      </c>
      <c r="V4" s="370">
        <v>195</v>
      </c>
      <c r="W4" s="49">
        <f>'Aventuria - Mythen &amp; Legenden'!Y82</f>
        <v>19612</v>
      </c>
      <c r="X4" s="49">
        <f>'Aventuria - Mythen &amp; Legenden'!Z82</f>
        <v>115</v>
      </c>
      <c r="Y4" s="55">
        <f>Tabelle3[[#This Row],[Nedime (€)]]/C$24</f>
        <v>0.23692357045472773</v>
      </c>
      <c r="Z4" s="55">
        <f>Tabelle3[[#This Row],[Nedime (Backer)]]/D$24</f>
        <v>0.21037463976945245</v>
      </c>
      <c r="AA4" s="55">
        <f>Tabelle3[[#This Row],[Thorwal (€)]]/O$24</f>
        <v>0.24413970800890922</v>
      </c>
      <c r="AB4" s="55">
        <f>Tabelle3[[#This Row],[Thorwal (Backer)]]/P$24</f>
        <v>0.31806615776081426</v>
      </c>
      <c r="AC4" s="55">
        <f>Tabelle3[[#This Row],[Werkzeuge (€)]]/Q$24</f>
        <v>0.25470121554347636</v>
      </c>
      <c r="AD4" s="55">
        <f>Tabelle3[[#This Row],[Werkzeuge (Backer)]]/R$24</f>
        <v>0.23677248677248677</v>
      </c>
      <c r="AE4" s="55"/>
      <c r="AF4" s="55"/>
      <c r="AH4"/>
      <c r="AI4"/>
      <c r="AJ4"/>
      <c r="AK4"/>
      <c r="AL4"/>
      <c r="AM4"/>
      <c r="AN4"/>
      <c r="AO4"/>
    </row>
    <row r="5" spans="2:44" x14ac:dyDescent="0.25">
      <c r="B5">
        <v>2</v>
      </c>
      <c r="C5" s="49">
        <v>16764</v>
      </c>
      <c r="D5" s="49">
        <v>82</v>
      </c>
      <c r="E5" s="57">
        <f t="shared" ref="E5:E13" si="0">E4+($E$14-$E$4)/10</f>
        <v>16625.895335429177</v>
      </c>
      <c r="F5" s="57">
        <f>F4+($F$14-$F$4)/10</f>
        <v>119.19847328244275</v>
      </c>
      <c r="G5" s="50">
        <f>Tabelle3[[#This Row],[Werkzeuge (€)]]/$Q$24*$G$24</f>
        <v>18103.852387402443</v>
      </c>
      <c r="H5" s="50">
        <f>Tabelle3[[#This Row],[Werkzeuge (Backer)]]/$R$24*$H$24</f>
        <v>94.55291005291005</v>
      </c>
      <c r="I5" s="57">
        <f>Tabelle3[[#This Row],[Mythos (€)]]/$S$24*$I$24</f>
        <v>16016.162090014017</v>
      </c>
      <c r="J5" s="57">
        <f>Tabelle3[[#This Row],[Mythos (Backer)]]/$T$24*$J$24</f>
        <v>97.609001406469758</v>
      </c>
      <c r="K5" s="50">
        <f>Tabelle3[[#This Row],[DSK (€)]]/$U$24*$I$24</f>
        <v>21471.044620079439</v>
      </c>
      <c r="L5" s="50">
        <f>Tabelle3[[#This Row],[DSK (Backer)]]/$V$24*$L$24</f>
        <v>123.24847560975608</v>
      </c>
      <c r="M5" s="50">
        <f>Tabelle3[[#This Row],[Mythen (€)]]/$W$24*$M$24</f>
        <v>16993.672736969591</v>
      </c>
      <c r="N5" s="50">
        <f>Tabelle3[[#This Row],[Mythen (Backer)]]/$X$24*$N$24</f>
        <v>101.85222672064778</v>
      </c>
      <c r="O5" s="56">
        <f>O4+($O$14-$O$4)/10</f>
        <v>71000</v>
      </c>
      <c r="P5" s="56">
        <f>P4+($P$14-$P$4)/10</f>
        <v>540</v>
      </c>
      <c r="Q5" s="49">
        <v>49522</v>
      </c>
      <c r="R5" s="49">
        <v>206</v>
      </c>
      <c r="S5" s="56">
        <f>S4+($S$6-$S$3)/3</f>
        <v>30666.666666666668</v>
      </c>
      <c r="T5" s="56">
        <f>T4+($T$6-$T$3)/3</f>
        <v>200</v>
      </c>
      <c r="U5" s="370">
        <v>42659</v>
      </c>
      <c r="V5" s="370">
        <v>233</v>
      </c>
      <c r="W5" s="49">
        <f>'Aventuria - Mythen &amp; Legenden'!Y83</f>
        <v>24532</v>
      </c>
      <c r="X5" s="49">
        <f>'Aventuria - Mythen &amp; Legenden'!Z83</f>
        <v>145</v>
      </c>
      <c r="Y5" s="55">
        <f>Tabelle3[[#This Row],[Nedime (€)]]/C$24</f>
        <v>0.2688908493062796</v>
      </c>
      <c r="Z5" s="55">
        <f>Tabelle3[[#This Row],[Nedime (Backer)]]/D$24</f>
        <v>0.23631123919308358</v>
      </c>
      <c r="AA5" s="55"/>
      <c r="AB5" s="55"/>
      <c r="AC5" s="55">
        <f>Tabelle3[[#This Row],[Werkzeuge (€)]]/Q$24</f>
        <v>0.29038178502530182</v>
      </c>
      <c r="AD5" s="55">
        <f>Tabelle3[[#This Row],[Werkzeuge (Backer)]]/R$24</f>
        <v>0.2724867724867725</v>
      </c>
      <c r="AE5" s="55"/>
      <c r="AF5" s="55"/>
      <c r="AH5"/>
      <c r="AI5"/>
      <c r="AJ5"/>
      <c r="AK5"/>
      <c r="AL5"/>
      <c r="AM5"/>
      <c r="AN5"/>
      <c r="AO5"/>
    </row>
    <row r="6" spans="2:44" ht="15.75" thickBot="1" x14ac:dyDescent="0.3">
      <c r="B6">
        <v>3</v>
      </c>
      <c r="C6" s="49">
        <v>17674</v>
      </c>
      <c r="D6" s="49">
        <v>90</v>
      </c>
      <c r="E6" s="57">
        <f t="shared" si="0"/>
        <v>18030.90057504291</v>
      </c>
      <c r="F6" s="57">
        <f t="shared" ref="F6:F13" si="1">F5+($F$14-$F$4)/10</f>
        <v>128.02798982188295</v>
      </c>
      <c r="G6" s="50">
        <f>Tabelle3[[#This Row],[Werkzeuge (€)]]/$Q$24*$G$24</f>
        <v>19704.691804316852</v>
      </c>
      <c r="H6" s="50">
        <f>Tabelle3[[#This Row],[Werkzeuge (Backer)]]/$R$24*$H$24</f>
        <v>102.81481481481481</v>
      </c>
      <c r="I6" s="50">
        <f>Tabelle3[[#This Row],[Mythos (€)]]/$S$24*$I$24</f>
        <v>24024.243135021028</v>
      </c>
      <c r="J6" s="50">
        <f>Tabelle3[[#This Row],[Mythos (Backer)]]/$T$24*$J$24</f>
        <v>146.41350210970464</v>
      </c>
      <c r="K6" s="50">
        <f>Tabelle3[[#This Row],[DSK (€)]]/$U$24*$I$24</f>
        <v>22786.717998191623</v>
      </c>
      <c r="L6" s="50">
        <f>Tabelle3[[#This Row],[DSK (Backer)]]/$V$24*$L$24</f>
        <v>131.1829268292683</v>
      </c>
      <c r="M6" s="50">
        <f>Tabelle3[[#This Row],[Mythen (€)]]/$W$24*$M$24</f>
        <v>19168.103632181865</v>
      </c>
      <c r="N6" s="50">
        <f>Tabelle3[[#This Row],[Mythen (Backer)]]/$X$24*$N$24</f>
        <v>113.79352226720647</v>
      </c>
      <c r="O6" s="56">
        <f t="shared" ref="O6:O13" si="2">O5+($O$14-$O$4)/10</f>
        <v>77000</v>
      </c>
      <c r="P6" s="56">
        <f t="shared" ref="P6:P13" si="3">P5+($P$14-$P$4)/10</f>
        <v>580</v>
      </c>
      <c r="Q6" s="49">
        <v>53901</v>
      </c>
      <c r="R6" s="49">
        <v>224</v>
      </c>
      <c r="S6" s="49">
        <v>46000</v>
      </c>
      <c r="T6" s="49">
        <v>300</v>
      </c>
      <c r="U6" s="370">
        <v>45273</v>
      </c>
      <c r="V6" s="370">
        <v>248</v>
      </c>
      <c r="W6" s="49">
        <f>'Aventuria - Mythen &amp; Legenden'!Y84</f>
        <v>27671</v>
      </c>
      <c r="X6" s="49">
        <f>'Aventuria - Mythen &amp; Legenden'!Z84</f>
        <v>162</v>
      </c>
      <c r="Y6" s="55">
        <f>Tabelle3[[#This Row],[Nedime (€)]]/C$24</f>
        <v>0.2834870478787393</v>
      </c>
      <c r="Z6" s="55">
        <f>Tabelle3[[#This Row],[Nedime (Backer)]]/D$24</f>
        <v>0.25936599423631124</v>
      </c>
      <c r="AA6" s="55"/>
      <c r="AB6" s="55"/>
      <c r="AC6" s="55">
        <f>Tabelle3[[#This Row],[Werkzeuge (€)]]/Q$24</f>
        <v>0.31605889492849226</v>
      </c>
      <c r="AD6" s="55">
        <f>Tabelle3[[#This Row],[Werkzeuge (Backer)]]/R$24</f>
        <v>0.29629629629629628</v>
      </c>
      <c r="AE6" s="55">
        <f>Tabelle3[[#This Row],[Mythos (€)]]/S$24</f>
        <v>0.38534354214485567</v>
      </c>
      <c r="AF6" s="55">
        <f>Tabelle3[[#This Row],[Mythos (Backer)]]/T$24</f>
        <v>0.4219409282700422</v>
      </c>
      <c r="AI6" s="54"/>
      <c r="AK6" s="54"/>
      <c r="AM6" s="66"/>
      <c r="AO6" s="54"/>
    </row>
    <row r="7" spans="2:44" x14ac:dyDescent="0.25">
      <c r="B7">
        <v>4</v>
      </c>
      <c r="C7" s="49">
        <v>18881</v>
      </c>
      <c r="D7" s="49">
        <v>95</v>
      </c>
      <c r="E7" s="57">
        <f t="shared" si="0"/>
        <v>19435.905814656642</v>
      </c>
      <c r="F7" s="57">
        <f t="shared" si="1"/>
        <v>136.85750636132315</v>
      </c>
      <c r="G7" s="50">
        <f>Tabelle3[[#This Row],[Werkzeuge (€)]]/$Q$24*$G$24</f>
        <v>21920.78875461033</v>
      </c>
      <c r="H7" s="50">
        <f>Tabelle3[[#This Row],[Werkzeuge (Backer)]]/$R$24*$H$24</f>
        <v>113.37169312169313</v>
      </c>
      <c r="I7" s="57">
        <f>Tabelle3[[#This Row],[Mythos (€)]]/$S$24*$I$24</f>
        <v>26153.174071964302</v>
      </c>
      <c r="J7" s="57">
        <f>Tabelle3[[#This Row],[Mythos (Backer)]]/$T$24*$J$24</f>
        <v>157.55719643694326</v>
      </c>
      <c r="K7" s="50">
        <f>Tabelle3[[#This Row],[DSK (€)]]/$U$24*$I$24</f>
        <v>24137.623639680951</v>
      </c>
      <c r="L7" s="50">
        <f>Tabelle3[[#This Row],[DSK (Backer)]]/$V$24*$L$24</f>
        <v>139.64634146341464</v>
      </c>
      <c r="M7" s="50">
        <f>Tabelle3[[#This Row],[Mythen (€)]]/$W$24*$M$24</f>
        <v>21005.875268052576</v>
      </c>
      <c r="N7" s="50">
        <f>Tabelle3[[#This Row],[Mythen (Backer)]]/$X$24*$N$24</f>
        <v>125.03238866396762</v>
      </c>
      <c r="O7" s="56">
        <f t="shared" si="2"/>
        <v>83000</v>
      </c>
      <c r="P7" s="56">
        <f t="shared" si="3"/>
        <v>620</v>
      </c>
      <c r="Q7" s="49">
        <v>59963</v>
      </c>
      <c r="R7" s="49">
        <v>247</v>
      </c>
      <c r="S7" s="56">
        <f>S6+($S$24-$S$6)/18</f>
        <v>50076.333333333336</v>
      </c>
      <c r="T7" s="56">
        <f>T6+($T$24-$T$6)/18</f>
        <v>322.83333333333331</v>
      </c>
      <c r="U7" s="370">
        <v>47957</v>
      </c>
      <c r="V7" s="370">
        <v>264</v>
      </c>
      <c r="W7" s="49">
        <f>'Aventuria - Mythen &amp; Legenden'!Y85</f>
        <v>30324</v>
      </c>
      <c r="X7" s="49">
        <f>'Aventuria - Mythen &amp; Legenden'!Z85</f>
        <v>178</v>
      </c>
      <c r="Y7" s="55">
        <f>Tabelle3[[#This Row],[Nedime (€)]]/C$24</f>
        <v>0.30284706071056222</v>
      </c>
      <c r="Z7" s="55">
        <f>Tabelle3[[#This Row],[Nedime (Backer)]]/D$24</f>
        <v>0.2737752161383285</v>
      </c>
      <c r="AA7" s="55"/>
      <c r="AB7" s="55"/>
      <c r="AC7" s="55">
        <f>Tabelle3[[#This Row],[Werkzeuge (€)]]/Q$24</f>
        <v>0.35160459948047684</v>
      </c>
      <c r="AD7" s="55">
        <f>Tabelle3[[#This Row],[Werkzeuge (Backer)]]/R$24</f>
        <v>0.32671957671957674</v>
      </c>
      <c r="AE7" s="55"/>
      <c r="AF7" s="55"/>
      <c r="AH7" s="71" t="s">
        <v>75</v>
      </c>
      <c r="AI7" s="77" t="s">
        <v>75</v>
      </c>
      <c r="AJ7" s="78" t="s">
        <v>75</v>
      </c>
      <c r="AK7" s="77" t="s">
        <v>75</v>
      </c>
      <c r="AL7" s="78" t="s">
        <v>75</v>
      </c>
      <c r="AM7" s="77" t="s">
        <v>75</v>
      </c>
      <c r="AN7" s="78" t="s">
        <v>75</v>
      </c>
      <c r="AO7" s="72" t="s">
        <v>75</v>
      </c>
      <c r="AQ7" t="s">
        <v>29</v>
      </c>
      <c r="AR7" t="s">
        <v>109</v>
      </c>
    </row>
    <row r="8" spans="2:44" x14ac:dyDescent="0.25">
      <c r="B8">
        <v>5</v>
      </c>
      <c r="C8" s="49">
        <v>21886</v>
      </c>
      <c r="D8" s="49">
        <v>111</v>
      </c>
      <c r="E8" s="57">
        <f t="shared" si="0"/>
        <v>20840.911054270375</v>
      </c>
      <c r="F8" s="57">
        <f t="shared" si="1"/>
        <v>145.68702290076334</v>
      </c>
      <c r="G8" s="50">
        <f>Tabelle3[[#This Row],[Werkzeuge (€)]]/$Q$24*$G$24</f>
        <v>23073.071431503275</v>
      </c>
      <c r="H8" s="50">
        <f>Tabelle3[[#This Row],[Werkzeuge (Backer)]]/$R$24*$H$24</f>
        <v>121.17460317460316</v>
      </c>
      <c r="I8" s="57">
        <f>Tabelle3[[#This Row],[Mythos (€)]]/$S$24*$I$24</f>
        <v>28282.10500890758</v>
      </c>
      <c r="J8" s="57">
        <f>Tabelle3[[#This Row],[Mythos (Backer)]]/$T$24*$J$24</f>
        <v>168.70089076418188</v>
      </c>
      <c r="K8" s="50">
        <f>Tabelle3[[#This Row],[DSK (€)]]/$U$24*$I$24</f>
        <v>25549.934083056156</v>
      </c>
      <c r="L8" s="50">
        <f>Tabelle3[[#This Row],[DSK (Backer)]]/$V$24*$L$24</f>
        <v>148.10975609756096</v>
      </c>
      <c r="M8" s="50">
        <f>Tabelle3[[#This Row],[Mythen (€)]]/$W$24*$M$24</f>
        <v>22597.040532882966</v>
      </c>
      <c r="N8" s="50">
        <f>Tabelle3[[#This Row],[Mythen (Backer)]]/$X$24*$N$24</f>
        <v>134.16396761133603</v>
      </c>
      <c r="O8" s="56">
        <f t="shared" si="2"/>
        <v>89000</v>
      </c>
      <c r="P8" s="56">
        <f t="shared" si="3"/>
        <v>660</v>
      </c>
      <c r="Q8" s="49">
        <v>63115</v>
      </c>
      <c r="R8" s="49">
        <v>264</v>
      </c>
      <c r="S8" s="56">
        <f t="shared" ref="S8:S23" si="4">S7+($S$24-$S$6)/18</f>
        <v>54152.666666666672</v>
      </c>
      <c r="T8" s="56">
        <f t="shared" ref="T8:T23" si="5">T7+($T$24-$T$6)/18</f>
        <v>345.66666666666663</v>
      </c>
      <c r="U8" s="370">
        <v>50763</v>
      </c>
      <c r="V8" s="370">
        <v>280</v>
      </c>
      <c r="W8" s="49">
        <f>'Aventuria - Mythen &amp; Legenden'!Y86</f>
        <v>32621</v>
      </c>
      <c r="X8" s="49">
        <f>'Aventuria - Mythen &amp; Legenden'!Z86</f>
        <v>191</v>
      </c>
      <c r="Y8" s="55">
        <f>Tabelle3[[#This Row],[Nedime (€)]]/C$24</f>
        <v>0.35104659555698131</v>
      </c>
      <c r="Z8" s="55">
        <f>Tabelle3[[#This Row],[Nedime (Backer)]]/D$24</f>
        <v>0.31988472622478387</v>
      </c>
      <c r="AA8" s="55"/>
      <c r="AB8" s="55"/>
      <c r="AC8" s="55">
        <f>Tabelle3[[#This Row],[Werkzeuge (€)]]/Q$24</f>
        <v>0.37008695856128437</v>
      </c>
      <c r="AD8" s="55">
        <f>Tabelle3[[#This Row],[Werkzeuge (Backer)]]/R$24</f>
        <v>0.34920634920634919</v>
      </c>
      <c r="AE8" s="55"/>
      <c r="AF8" s="55"/>
      <c r="AH8" s="73" t="s">
        <v>98</v>
      </c>
      <c r="AI8" s="79" t="s">
        <v>99</v>
      </c>
      <c r="AJ8" s="80" t="s">
        <v>96</v>
      </c>
      <c r="AK8" s="79" t="s">
        <v>97</v>
      </c>
      <c r="AL8" s="80" t="s">
        <v>199</v>
      </c>
      <c r="AM8" s="79" t="s">
        <v>200</v>
      </c>
      <c r="AN8" s="80" t="s">
        <v>104</v>
      </c>
      <c r="AO8" s="74" t="s">
        <v>105</v>
      </c>
      <c r="AP8" s="62" t="s">
        <v>107</v>
      </c>
      <c r="AQ8" s="69">
        <f>MIN(AH9,AJ9,AL9,AN9)</f>
        <v>3.4027800670292843</v>
      </c>
      <c r="AR8" s="69">
        <f>MIN(AI9,AK9,AM9,AI9)</f>
        <v>3.1440000000000001</v>
      </c>
    </row>
    <row r="9" spans="2:44" x14ac:dyDescent="0.25">
      <c r="B9">
        <v>6</v>
      </c>
      <c r="C9" s="49">
        <v>22571</v>
      </c>
      <c r="D9" s="49">
        <v>114.99999999999999</v>
      </c>
      <c r="E9" s="57">
        <f t="shared" si="0"/>
        <v>22245.916293884107</v>
      </c>
      <c r="F9" s="57">
        <f t="shared" si="1"/>
        <v>154.51653944020353</v>
      </c>
      <c r="G9" s="50">
        <f>Tabelle3[[#This Row],[Werkzeuge (€)]]/$Q$24*$G$24</f>
        <v>23816.279135222616</v>
      </c>
      <c r="H9" s="50">
        <f>Tabelle3[[#This Row],[Werkzeuge (Backer)]]/$R$24*$H$24</f>
        <v>125.76455026455027</v>
      </c>
      <c r="I9" s="57">
        <f>Tabelle3[[#This Row],[Mythos (€)]]/$S$24*$I$24</f>
        <v>30411.035945850857</v>
      </c>
      <c r="J9" s="57">
        <f>Tabelle3[[#This Row],[Mythos (Backer)]]/$T$24*$J$24</f>
        <v>179.84458509142053</v>
      </c>
      <c r="K9" s="50">
        <f>Tabelle3[[#This Row],[DSK (€)]]/$U$24*$I$24</f>
        <v>27093.107218975038</v>
      </c>
      <c r="L9" s="50">
        <f>Tabelle3[[#This Row],[DSK (Backer)]]/$V$24*$L$24</f>
        <v>155.51524390243904</v>
      </c>
      <c r="M9" s="50">
        <f>Tabelle3[[#This Row],[Mythen (€)]]/$W$24*$M$24</f>
        <v>25963.633126298595</v>
      </c>
      <c r="N9" s="50">
        <f>Tabelle3[[#This Row],[Mythen (Backer)]]/$X$24*$N$24</f>
        <v>154.53441295546557</v>
      </c>
      <c r="O9" s="56">
        <f t="shared" si="2"/>
        <v>95000</v>
      </c>
      <c r="P9" s="56">
        <f t="shared" si="3"/>
        <v>700</v>
      </c>
      <c r="Q9" s="49">
        <v>65148</v>
      </c>
      <c r="R9" s="49">
        <v>274</v>
      </c>
      <c r="S9" s="56">
        <f t="shared" si="4"/>
        <v>58229.000000000007</v>
      </c>
      <c r="T9" s="56">
        <f t="shared" si="5"/>
        <v>368.49999999999994</v>
      </c>
      <c r="U9" s="370">
        <v>53829</v>
      </c>
      <c r="V9" s="370">
        <v>294</v>
      </c>
      <c r="W9" s="49">
        <f>'Aventuria - Mythen &amp; Legenden'!Y87</f>
        <v>37481</v>
      </c>
      <c r="X9" s="49">
        <f>'Aventuria - Mythen &amp; Legenden'!Z87</f>
        <v>220</v>
      </c>
      <c r="Y9" s="55">
        <f>Tabelle3[[#This Row],[Nedime (€)]]/C$24</f>
        <v>0.36203384393295374</v>
      </c>
      <c r="Z9" s="55">
        <f>Tabelle3[[#This Row],[Nedime (Backer)]]/D$24</f>
        <v>0.33141210374639768</v>
      </c>
      <c r="AA9" s="55"/>
      <c r="AB9" s="55"/>
      <c r="AC9" s="55">
        <f>Tabelle3[[#This Row],[Werkzeuge (€)]]/Q$24</f>
        <v>0.38200784562070117</v>
      </c>
      <c r="AD9" s="55">
        <f>Tabelle3[[#This Row],[Werkzeuge (Backer)]]/R$24</f>
        <v>0.36243386243386244</v>
      </c>
      <c r="AE9" s="55"/>
      <c r="AF9" s="55"/>
      <c r="AH9" s="73">
        <f>C24/C4</f>
        <v>4.2207704285424139</v>
      </c>
      <c r="AI9" s="79">
        <f>D24/D4</f>
        <v>4.7534246575342465</v>
      </c>
      <c r="AJ9" s="80">
        <f>O24/O4</f>
        <v>4.0960153846153844</v>
      </c>
      <c r="AK9" s="79">
        <f>P24/P4</f>
        <v>3.1440000000000001</v>
      </c>
      <c r="AL9" s="80">
        <f>Q24/Q4</f>
        <v>3.9261689343186683</v>
      </c>
      <c r="AM9" s="79">
        <f>R24/R4</f>
        <v>4.2234636871508382</v>
      </c>
      <c r="AN9" s="382">
        <f>U24/U4</f>
        <v>3.4027800670292843</v>
      </c>
      <c r="AO9" s="383">
        <f>V24/V4</f>
        <v>3.3641025641025641</v>
      </c>
      <c r="AP9" t="s">
        <v>108</v>
      </c>
      <c r="AQ9" s="70">
        <f>MAX(AH9,AJ9,AL9,AN9)</f>
        <v>4.2207704285424139</v>
      </c>
      <c r="AR9" s="70">
        <f>MAX(,AI9,AK9,AM9,AO9)</f>
        <v>4.7534246575342465</v>
      </c>
    </row>
    <row r="10" spans="2:44" ht="15.75" thickBot="1" x14ac:dyDescent="0.3">
      <c r="B10">
        <v>7</v>
      </c>
      <c r="C10" s="49">
        <v>24180</v>
      </c>
      <c r="D10" s="49">
        <v>124</v>
      </c>
      <c r="E10" s="57">
        <f t="shared" si="0"/>
        <v>23650.92153349784</v>
      </c>
      <c r="F10" s="57">
        <f t="shared" si="1"/>
        <v>163.34605597964372</v>
      </c>
      <c r="G10" s="50">
        <f>Tabelle3[[#This Row],[Werkzeuge (€)]]/$Q$24*$G$24</f>
        <v>25452.213456001784</v>
      </c>
      <c r="H10" s="50">
        <f>Tabelle3[[#This Row],[Werkzeuge (Backer)]]/$R$24*$H$24</f>
        <v>135.40343915343917</v>
      </c>
      <c r="I10" s="57">
        <f>Tabelle3[[#This Row],[Mythos (€)]]/$S$24*$I$24</f>
        <v>32539.966882794135</v>
      </c>
      <c r="J10" s="57">
        <f>Tabelle3[[#This Row],[Mythos (Backer)]]/$T$24*$J$24</f>
        <v>190.98827941865915</v>
      </c>
      <c r="K10" s="50">
        <f>Tabelle3[[#This Row],[DSK (€)]]/$U$24*$I$24</f>
        <v>28176.247658798078</v>
      </c>
      <c r="L10" s="50">
        <f>Tabelle3[[#This Row],[DSK (Backer)]]/$V$24*$L$24</f>
        <v>162.92073170731706</v>
      </c>
      <c r="M10" s="50">
        <f>Tabelle3[[#This Row],[Mythen (€)]]/$W$24*$M$24</f>
        <v>27863.056354929391</v>
      </c>
      <c r="N10" s="50">
        <f>Tabelle3[[#This Row],[Mythen (Backer)]]/$X$24*$N$24</f>
        <v>165.77327935222672</v>
      </c>
      <c r="O10" s="56">
        <f t="shared" si="2"/>
        <v>101000</v>
      </c>
      <c r="P10" s="56">
        <f t="shared" si="3"/>
        <v>740</v>
      </c>
      <c r="Q10" s="49">
        <v>69623</v>
      </c>
      <c r="R10" s="49">
        <v>295</v>
      </c>
      <c r="S10" s="56">
        <f t="shared" si="4"/>
        <v>62305.333333333343</v>
      </c>
      <c r="T10" s="56">
        <f t="shared" si="5"/>
        <v>391.33333333333326</v>
      </c>
      <c r="U10" s="370">
        <v>55981</v>
      </c>
      <c r="V10" s="370">
        <v>308</v>
      </c>
      <c r="W10" s="49">
        <f>'Aventuria - Mythen &amp; Legenden'!Y88</f>
        <v>40223</v>
      </c>
      <c r="X10" s="49">
        <f>'Aventuria - Mythen &amp; Legenden'!Z88</f>
        <v>236</v>
      </c>
      <c r="Y10" s="55">
        <f>Tabelle3[[#This Row],[Nedime (€)]]/C$24</f>
        <v>0.38784184778250058</v>
      </c>
      <c r="Z10" s="55">
        <f>Tabelle3[[#This Row],[Nedime (Backer)]]/D$24</f>
        <v>0.35734870317002881</v>
      </c>
      <c r="AA10" s="55"/>
      <c r="AB10" s="55"/>
      <c r="AC10" s="55">
        <f>Tabelle3[[#This Row],[Werkzeuge (€)]]/Q$24</f>
        <v>0.40824787001366242</v>
      </c>
      <c r="AD10" s="55">
        <f>Tabelle3[[#This Row],[Werkzeuge (Backer)]]/R$24</f>
        <v>0.39021164021164023</v>
      </c>
      <c r="AE10" s="55"/>
      <c r="AF10" s="55"/>
      <c r="AH10" s="75"/>
      <c r="AI10" s="81">
        <f>AH9-AI9</f>
        <v>-0.53265422899183257</v>
      </c>
      <c r="AJ10" s="82"/>
      <c r="AK10" s="81">
        <f>AJ9-AK9</f>
        <v>0.95201538461538426</v>
      </c>
      <c r="AL10" s="82"/>
      <c r="AM10" s="81">
        <f>AL9-AM9</f>
        <v>-0.29729475283216988</v>
      </c>
      <c r="AN10" s="82"/>
      <c r="AO10" s="76">
        <f>AN9-AO9</f>
        <v>3.867750292672012E-2</v>
      </c>
    </row>
    <row r="11" spans="2:44" x14ac:dyDescent="0.25">
      <c r="B11">
        <v>8</v>
      </c>
      <c r="C11" s="49">
        <v>26679</v>
      </c>
      <c r="D11" s="49">
        <v>136</v>
      </c>
      <c r="E11" s="57">
        <f t="shared" si="0"/>
        <v>25055.926773111572</v>
      </c>
      <c r="F11" s="57">
        <f t="shared" si="1"/>
        <v>172.17557251908391</v>
      </c>
      <c r="G11" s="50">
        <f>Tabelle3[[#This Row],[Werkzeuge (€)]]/$Q$24*$G$24</f>
        <v>26607.420708216792</v>
      </c>
      <c r="H11" s="50">
        <f>Tabelle3[[#This Row],[Werkzeuge (Backer)]]/$R$24*$H$24</f>
        <v>141.37037037037035</v>
      </c>
      <c r="I11" s="57">
        <f>Tabelle3[[#This Row],[Mythos (€)]]/$S$24*$I$24</f>
        <v>34668.897819737409</v>
      </c>
      <c r="J11" s="57">
        <f>Tabelle3[[#This Row],[Mythos (Backer)]]/$T$24*$J$24</f>
        <v>202.13197374589777</v>
      </c>
      <c r="K11" s="50">
        <f>Tabelle3[[#This Row],[DSK (€)]]/$U$24*$I$24</f>
        <v>29592.58464655924</v>
      </c>
      <c r="L11" s="50">
        <f>Tabelle3[[#This Row],[DSK (Backer)]]/$V$24*$L$24</f>
        <v>171.91310975609755</v>
      </c>
      <c r="M11" s="50">
        <f>Tabelle3[[#This Row],[Mythen (€)]]/$W$24*$M$24</f>
        <v>30317.343918400908</v>
      </c>
      <c r="N11" s="50">
        <f>Tabelle3[[#This Row],[Mythen (Backer)]]/$X$24*$N$24</f>
        <v>177.71457489878543</v>
      </c>
      <c r="O11" s="56">
        <f t="shared" si="2"/>
        <v>107000</v>
      </c>
      <c r="P11" s="56">
        <f t="shared" si="3"/>
        <v>780</v>
      </c>
      <c r="Q11" s="49">
        <v>72783</v>
      </c>
      <c r="R11" s="49">
        <v>308</v>
      </c>
      <c r="S11" s="56">
        <f t="shared" si="4"/>
        <v>66381.666666666672</v>
      </c>
      <c r="T11" s="56">
        <f t="shared" si="5"/>
        <v>414.16666666666657</v>
      </c>
      <c r="U11" s="370">
        <v>58795</v>
      </c>
      <c r="V11" s="370">
        <v>325</v>
      </c>
      <c r="W11" s="49">
        <f>'Aventuria - Mythen &amp; Legenden'!Y89</f>
        <v>43766</v>
      </c>
      <c r="X11" s="49">
        <f>'Aventuria - Mythen &amp; Legenden'!Z89</f>
        <v>253</v>
      </c>
      <c r="Y11" s="55">
        <f>Tabelle3[[#This Row],[Nedime (€)]]/C$24</f>
        <v>0.42792525463148606</v>
      </c>
      <c r="Z11" s="55">
        <f>Tabelle3[[#This Row],[Nedime (Backer)]]/D$24</f>
        <v>0.39193083573487031</v>
      </c>
      <c r="AA11" s="55"/>
      <c r="AB11" s="55"/>
      <c r="AC11" s="55">
        <f>Tabelle3[[#This Row],[Werkzeuge (€)]]/Q$24</f>
        <v>0.42677713863528416</v>
      </c>
      <c r="AD11" s="55">
        <f>Tabelle3[[#This Row],[Werkzeuge (Backer)]]/R$24</f>
        <v>0.40740740740740738</v>
      </c>
      <c r="AE11" s="55"/>
      <c r="AF11" s="55"/>
    </row>
    <row r="12" spans="2:44" ht="15.75" thickBot="1" x14ac:dyDescent="0.3">
      <c r="B12">
        <v>9</v>
      </c>
      <c r="C12" s="49">
        <v>27868</v>
      </c>
      <c r="D12" s="49">
        <v>142</v>
      </c>
      <c r="E12" s="57">
        <f t="shared" si="0"/>
        <v>26460.932012725305</v>
      </c>
      <c r="F12" s="57">
        <f t="shared" si="1"/>
        <v>181.00508905852411</v>
      </c>
      <c r="G12" s="50">
        <f>Tabelle3[[#This Row],[Werkzeuge (€)]]/$Q$24*$G$24</f>
        <v>28001.711993010478</v>
      </c>
      <c r="H12" s="50">
        <f>Tabelle3[[#This Row],[Werkzeuge (Backer)]]/$R$24*$H$24</f>
        <v>151.00925925925927</v>
      </c>
      <c r="I12" s="57">
        <f>Tabelle3[[#This Row],[Mythos (€)]]/$S$24*$I$24</f>
        <v>36797.828756680683</v>
      </c>
      <c r="J12" s="57">
        <f>Tabelle3[[#This Row],[Mythos (Backer)]]/$T$24*$J$24</f>
        <v>213.27566807313639</v>
      </c>
      <c r="K12" s="50">
        <f>Tabelle3[[#This Row],[DSK (€)]]/$U$24*$I$24</f>
        <v>31860.032453902542</v>
      </c>
      <c r="L12" s="50">
        <f>Tabelle3[[#This Row],[DSK (Backer)]]/$V$24*$L$24</f>
        <v>185.13719512195124</v>
      </c>
      <c r="M12" s="50">
        <f>Tabelle3[[#This Row],[Mythen (€)]]/$W$24*$M$24</f>
        <v>31844.779446895034</v>
      </c>
      <c r="N12" s="50">
        <f>Tabelle3[[#This Row],[Mythen (Backer)]]/$X$24*$N$24</f>
        <v>187.54858299595142</v>
      </c>
      <c r="O12" s="56">
        <f t="shared" si="2"/>
        <v>113000</v>
      </c>
      <c r="P12" s="56">
        <f t="shared" si="3"/>
        <v>820</v>
      </c>
      <c r="Q12" s="49">
        <v>76597</v>
      </c>
      <c r="R12" s="49">
        <v>329</v>
      </c>
      <c r="S12" s="56">
        <f t="shared" si="4"/>
        <v>70458</v>
      </c>
      <c r="T12" s="56">
        <f t="shared" si="5"/>
        <v>436.99999999999989</v>
      </c>
      <c r="U12" s="370">
        <v>63300</v>
      </c>
      <c r="V12" s="370">
        <v>350</v>
      </c>
      <c r="W12" s="49">
        <f>'Aventuria - Mythen &amp; Legenden'!Y90</f>
        <v>45971</v>
      </c>
      <c r="X12" s="49">
        <f>'Aventuria - Mythen &amp; Legenden'!Z90</f>
        <v>267</v>
      </c>
      <c r="Y12" s="55">
        <f>Tabelle3[[#This Row],[Nedime (€)]]/C$24</f>
        <v>0.44699655144759004</v>
      </c>
      <c r="Z12" s="55">
        <f>Tabelle3[[#This Row],[Nedime (Backer)]]/D$24</f>
        <v>0.40922190201729108</v>
      </c>
      <c r="AA12" s="55"/>
      <c r="AB12" s="55"/>
      <c r="AC12" s="55">
        <f>Tabelle3[[#This Row],[Werkzeuge (€)]]/Q$24</f>
        <v>0.44914126221846945</v>
      </c>
      <c r="AD12" s="55">
        <f>Tabelle3[[#This Row],[Werkzeuge (Backer)]]/R$24</f>
        <v>0.43518518518518517</v>
      </c>
      <c r="AE12" s="55"/>
      <c r="AF12" s="55"/>
    </row>
    <row r="13" spans="2:44" x14ac:dyDescent="0.25">
      <c r="B13">
        <v>10</v>
      </c>
      <c r="C13" s="49">
        <v>31587</v>
      </c>
      <c r="D13" s="49">
        <v>161</v>
      </c>
      <c r="E13" s="57">
        <f t="shared" si="0"/>
        <v>27865.937252339038</v>
      </c>
      <c r="F13" s="57">
        <f t="shared" si="1"/>
        <v>189.8346055979643</v>
      </c>
      <c r="G13" s="50">
        <f>Tabelle3[[#This Row],[Werkzeuge (€)]]/$Q$24*$G$24</f>
        <v>29730.867152180414</v>
      </c>
      <c r="H13" s="50">
        <f>Tabelle3[[#This Row],[Werkzeuge (Backer)]]/$R$24*$H$24</f>
        <v>160.64814814814815</v>
      </c>
      <c r="I13" s="57">
        <f>Tabelle3[[#This Row],[Mythos (€)]]/$S$24*$I$24</f>
        <v>38926.759693623957</v>
      </c>
      <c r="J13" s="57">
        <f>Tabelle3[[#This Row],[Mythos (Backer)]]/$T$24*$J$24</f>
        <v>224.41936240037501</v>
      </c>
      <c r="K13" s="50">
        <f>Tabelle3[[#This Row],[DSK (€)]]/$U$24*$I$24</f>
        <v>33546.147915522975</v>
      </c>
      <c r="L13" s="50">
        <f>Tabelle3[[#This Row],[DSK (Backer)]]/$V$24*$L$24</f>
        <v>195.1875</v>
      </c>
      <c r="M13" s="50">
        <f>Tabelle3[[#This Row],[Mythen (€)]]/$W$24*$M$24</f>
        <v>33841.182709081011</v>
      </c>
      <c r="N13" s="50">
        <f>Tabelle3[[#This Row],[Mythen (Backer)]]/$X$24*$N$24</f>
        <v>198.08502024291496</v>
      </c>
      <c r="O13" s="56">
        <f t="shared" si="2"/>
        <v>119000</v>
      </c>
      <c r="P13" s="56">
        <f t="shared" si="3"/>
        <v>860</v>
      </c>
      <c r="Q13" s="49">
        <v>81327</v>
      </c>
      <c r="R13" s="49">
        <v>350</v>
      </c>
      <c r="S13" s="56">
        <f t="shared" si="4"/>
        <v>74534.333333333328</v>
      </c>
      <c r="T13" s="56">
        <f t="shared" si="5"/>
        <v>459.8333333333332</v>
      </c>
      <c r="U13" s="370">
        <v>66650</v>
      </c>
      <c r="V13" s="370">
        <v>369</v>
      </c>
      <c r="W13" s="49">
        <f>'Aventuria - Mythen &amp; Legenden'!Y91</f>
        <v>48853</v>
      </c>
      <c r="X13" s="49">
        <f>'Aventuria - Mythen &amp; Legenden'!Z91</f>
        <v>282</v>
      </c>
      <c r="Y13" s="55">
        <f>Tabelle3[[#This Row],[Nedime (€)]]/C$24</f>
        <v>0.50664848825086217</v>
      </c>
      <c r="Z13" s="55">
        <f>Tabelle3[[#This Row],[Nedime (Backer)]]/D$24</f>
        <v>0.46397694524495675</v>
      </c>
      <c r="AA13" s="55"/>
      <c r="AB13" s="55"/>
      <c r="AC13" s="55">
        <f>Tabelle3[[#This Row],[Werkzeuge (€)]]/Q$24</f>
        <v>0.47687652822488436</v>
      </c>
      <c r="AD13" s="55">
        <f>Tabelle3[[#This Row],[Werkzeuge (Backer)]]/R$24</f>
        <v>0.46296296296296297</v>
      </c>
      <c r="AE13" s="55"/>
      <c r="AF13" s="55"/>
      <c r="AH13" s="71" t="s">
        <v>106</v>
      </c>
      <c r="AI13" s="77" t="s">
        <v>106</v>
      </c>
      <c r="AJ13" s="389"/>
      <c r="AK13" s="390"/>
      <c r="AL13" s="384" t="s">
        <v>106</v>
      </c>
      <c r="AM13" s="385" t="s">
        <v>106</v>
      </c>
      <c r="AN13" s="78" t="s">
        <v>106</v>
      </c>
      <c r="AO13" s="72" t="s">
        <v>106</v>
      </c>
    </row>
    <row r="14" spans="2:44" x14ac:dyDescent="0.25">
      <c r="B14">
        <v>11</v>
      </c>
      <c r="C14" s="49">
        <v>34703</v>
      </c>
      <c r="D14" s="49">
        <v>178</v>
      </c>
      <c r="E14" s="50">
        <f>Tabelle3[[#This Row],[Thorwal (€)]]/O24*E24</f>
        <v>29270.942491952781</v>
      </c>
      <c r="F14" s="50">
        <f>Tabelle3[[#This Row],[Thorwal (Backer)]]/P24*F24</f>
        <v>198.66412213740458</v>
      </c>
      <c r="G14" s="50">
        <f>Tabelle3[[#This Row],[Werkzeuge (€)]]/$Q$24*$G$24</f>
        <v>30365.134425152894</v>
      </c>
      <c r="H14" s="50">
        <f>Tabelle3[[#This Row],[Werkzeuge (Backer)]]/$R$24*$H$24</f>
        <v>163.40211640211641</v>
      </c>
      <c r="I14" s="57">
        <f>Tabelle3[[#This Row],[Mythos (€)]]/$S$24*$I$24</f>
        <v>41055.690630567231</v>
      </c>
      <c r="J14" s="57">
        <f>Tabelle3[[#This Row],[Mythos (Backer)]]/$T$24*$J$24</f>
        <v>235.56305672761363</v>
      </c>
      <c r="K14" s="50">
        <f>Tabelle3[[#This Row],[DSK (€)]]/$U$24*$I$24</f>
        <v>35065.161785126103</v>
      </c>
      <c r="L14" s="50">
        <f>Tabelle3[[#This Row],[DSK (Backer)]]/$V$24*$L$24</f>
        <v>204.17987804878047</v>
      </c>
      <c r="M14" s="50">
        <f>Tabelle3[[#This Row],[Mythen (€)]]/$W$24*$M$24</f>
        <v>34832.457194920054</v>
      </c>
      <c r="N14" s="50">
        <f>Tabelle3[[#This Row],[Mythen (Backer)]]/$X$24*$N$24</f>
        <v>204.40688259109311</v>
      </c>
      <c r="O14" s="49">
        <v>125000</v>
      </c>
      <c r="P14" s="49">
        <v>900</v>
      </c>
      <c r="Q14" s="49">
        <v>83062</v>
      </c>
      <c r="R14" s="49">
        <v>356</v>
      </c>
      <c r="S14" s="56">
        <f t="shared" si="4"/>
        <v>78610.666666666657</v>
      </c>
      <c r="T14" s="56">
        <f t="shared" si="5"/>
        <v>482.66666666666652</v>
      </c>
      <c r="U14" s="370">
        <v>69668</v>
      </c>
      <c r="V14" s="370">
        <v>386</v>
      </c>
      <c r="W14" s="49">
        <f>'Aventuria - Mythen &amp; Legenden'!Y92</f>
        <v>50284</v>
      </c>
      <c r="X14" s="49">
        <f>'Aventuria - Mythen &amp; Legenden'!Z92</f>
        <v>291</v>
      </c>
      <c r="Y14" s="55">
        <f>Tabelle3[[#This Row],[Nedime (€)]]/C$24</f>
        <v>0.55662843852754829</v>
      </c>
      <c r="Z14" s="55">
        <f>Tabelle3[[#This Row],[Nedime (Backer)]]/D$24</f>
        <v>0.51296829971181557</v>
      </c>
      <c r="AA14" s="55">
        <f>Tabelle3[[#This Row],[Thorwal (€)]]/O$24</f>
        <v>0.46949943847867159</v>
      </c>
      <c r="AB14" s="55">
        <f>Tabelle3[[#This Row],[Thorwal (Backer)]]/P$24</f>
        <v>0.5725190839694656</v>
      </c>
      <c r="AC14" s="55">
        <f>Tabelle3[[#This Row],[Werkzeuge (€)]]/Q$24</f>
        <v>0.48705003488897097</v>
      </c>
      <c r="AD14" s="55">
        <f>Tabelle3[[#This Row],[Werkzeuge (Backer)]]/R$24</f>
        <v>0.47089947089947087</v>
      </c>
      <c r="AE14" s="55"/>
      <c r="AF14" s="55"/>
      <c r="AH14" s="73" t="s">
        <v>98</v>
      </c>
      <c r="AI14" s="79" t="s">
        <v>99</v>
      </c>
      <c r="AJ14" s="381"/>
      <c r="AK14" s="391"/>
      <c r="AL14" s="80" t="s">
        <v>199</v>
      </c>
      <c r="AM14" s="79" t="s">
        <v>200</v>
      </c>
      <c r="AN14" s="80" t="s">
        <v>104</v>
      </c>
      <c r="AO14" s="74" t="s">
        <v>105</v>
      </c>
      <c r="AP14" s="62" t="s">
        <v>107</v>
      </c>
      <c r="AQ14" s="69">
        <f>MIN(AH15,AL15,AN15)</f>
        <v>2.903678004641459</v>
      </c>
      <c r="AR14" s="69">
        <f>MIN(AI15,AM15,AO15)</f>
        <v>2.8154506437768241</v>
      </c>
    </row>
    <row r="15" spans="2:44" x14ac:dyDescent="0.25">
      <c r="B15">
        <v>12</v>
      </c>
      <c r="C15" s="49">
        <v>36986</v>
      </c>
      <c r="D15" s="49">
        <v>193</v>
      </c>
      <c r="E15" s="57">
        <f>E14+($E$24-$E$14)/10</f>
        <v>32578.348242757504</v>
      </c>
      <c r="F15" s="57">
        <f>F14+($F$24-$F$14)/10</f>
        <v>213.4977099236641</v>
      </c>
      <c r="G15" s="50">
        <f>Tabelle3[[#This Row],[Werkzeuge (€)]]/$Q$24*$G$24</f>
        <v>31495.482787130364</v>
      </c>
      <c r="H15" s="50">
        <f>Tabelle3[[#This Row],[Werkzeuge (Backer)]]/$R$24*$H$24</f>
        <v>170.28703703703704</v>
      </c>
      <c r="I15" s="57">
        <f>Tabelle3[[#This Row],[Mythos (€)]]/$S$24*$I$24</f>
        <v>43184.621567510505</v>
      </c>
      <c r="J15" s="57">
        <f>Tabelle3[[#This Row],[Mythos (Backer)]]/$T$24*$J$24</f>
        <v>246.70675105485225</v>
      </c>
      <c r="K15" s="50">
        <f>Tabelle3[[#This Row],[DSK (€)]]/$U$24*$I$24</f>
        <v>35879.530387186358</v>
      </c>
      <c r="L15" s="50">
        <f>Tabelle3[[#This Row],[DSK (Backer)]]/$V$24*$L$24</f>
        <v>208.94054878048783</v>
      </c>
      <c r="M15" s="50">
        <f>Tabelle3[[#This Row],[Mythen (€)]]/$W$24*$M$24</f>
        <v>37557.596137820692</v>
      </c>
      <c r="N15" s="50">
        <f>Tabelle3[[#This Row],[Mythen (Backer)]]/$X$24*$N$24</f>
        <v>218.45546558704453</v>
      </c>
      <c r="O15" s="56">
        <f>O14+($O$24-$O$14)/10</f>
        <v>139124.1</v>
      </c>
      <c r="P15" s="56">
        <f>P14+($P$24-$P$14)/10</f>
        <v>967.2</v>
      </c>
      <c r="Q15" s="49">
        <v>86154</v>
      </c>
      <c r="R15" s="49">
        <v>371</v>
      </c>
      <c r="S15" s="56">
        <f t="shared" si="4"/>
        <v>82686.999999999985</v>
      </c>
      <c r="T15" s="56">
        <f t="shared" si="5"/>
        <v>505.49999999999983</v>
      </c>
      <c r="U15" s="370">
        <v>71286</v>
      </c>
      <c r="V15" s="370">
        <v>395</v>
      </c>
      <c r="W15" s="49">
        <f>'Aventuria - Mythen &amp; Legenden'!Y93</f>
        <v>54218</v>
      </c>
      <c r="X15" s="49">
        <f>'Aventuria - Mythen &amp; Legenden'!Z93</f>
        <v>311</v>
      </c>
      <c r="Y15" s="55">
        <f>Tabelle3[[#This Row],[Nedime (€)]]/C$24</f>
        <v>0.59324725318790605</v>
      </c>
      <c r="Z15" s="55">
        <f>Tabelle3[[#This Row],[Nedime (Backer)]]/D$24</f>
        <v>0.55619596541786742</v>
      </c>
      <c r="AA15" s="55"/>
      <c r="AB15" s="55"/>
      <c r="AC15" s="55">
        <f>Tabelle3[[#This Row],[Werkzeuge (€)]]/Q$24</f>
        <v>0.50518057241367176</v>
      </c>
      <c r="AD15" s="55">
        <f>Tabelle3[[#This Row],[Werkzeuge (Backer)]]/R$24</f>
        <v>0.49074074074074076</v>
      </c>
      <c r="AE15" s="55"/>
      <c r="AF15" s="55"/>
      <c r="AH15" s="73">
        <f>C24/C5</f>
        <v>3.7189811500835122</v>
      </c>
      <c r="AI15" s="79">
        <f>D24/D5</f>
        <v>4.2317073170731705</v>
      </c>
      <c r="AJ15" s="381"/>
      <c r="AK15" s="391"/>
      <c r="AL15" s="382">
        <f>Q24/Q5</f>
        <v>3.4437421751948629</v>
      </c>
      <c r="AM15" s="386">
        <f>R24/R5</f>
        <v>3.6699029126213594</v>
      </c>
      <c r="AN15" s="382">
        <f>U24/U5</f>
        <v>2.903678004641459</v>
      </c>
      <c r="AO15" s="383">
        <f>V24/V5</f>
        <v>2.8154506437768241</v>
      </c>
      <c r="AP15" t="s">
        <v>108</v>
      </c>
      <c r="AQ15" s="70">
        <f>MAX(AH15,AL15,AN15)</f>
        <v>3.7189811500835122</v>
      </c>
      <c r="AR15" s="70">
        <f>MAX(AI15,AM15,AO15)</f>
        <v>4.2317073170731705</v>
      </c>
    </row>
    <row r="16" spans="2:44" ht="15.75" thickBot="1" x14ac:dyDescent="0.3">
      <c r="B16">
        <v>13</v>
      </c>
      <c r="C16" s="49">
        <v>37704</v>
      </c>
      <c r="D16" s="49">
        <v>197</v>
      </c>
      <c r="E16" s="57">
        <f t="shared" ref="E16:E23" si="6">E15+($E$24-$E$14)/10</f>
        <v>35885.753993562226</v>
      </c>
      <c r="F16" s="57">
        <f t="shared" ref="F16:F23" si="7">F15+($F$24-$F$14)/10</f>
        <v>228.33129770992366</v>
      </c>
      <c r="G16" s="50">
        <f>Tabelle3[[#This Row],[Werkzeuge (€)]]/$Q$24*$G$24</f>
        <v>32558.56591670038</v>
      </c>
      <c r="H16" s="50">
        <f>Tabelle3[[#This Row],[Werkzeuge (Backer)]]/$R$24*$H$24</f>
        <v>177.17195767195767</v>
      </c>
      <c r="I16" s="57">
        <f>Tabelle3[[#This Row],[Mythos (€)]]/$S$24*$I$24</f>
        <v>45313.552504453779</v>
      </c>
      <c r="J16" s="57">
        <f>Tabelle3[[#This Row],[Mythos (Backer)]]/$T$24*$J$24</f>
        <v>257.85044538209087</v>
      </c>
      <c r="K16" s="50">
        <f>Tabelle3[[#This Row],[DSK (€)]]/$U$24*$I$24</f>
        <v>37285.297695934387</v>
      </c>
      <c r="L16" s="50">
        <f>Tabelle3[[#This Row],[DSK (Backer)]]/$V$24*$L$24</f>
        <v>216.875</v>
      </c>
      <c r="M16" s="50">
        <f>Tabelle3[[#This Row],[Mythen (€)]]/$W$24*$M$24</f>
        <v>38504.536894034507</v>
      </c>
      <c r="N16" s="50">
        <f>Tabelle3[[#This Row],[Mythen (Backer)]]/$X$24*$N$24</f>
        <v>224.07489878542512</v>
      </c>
      <c r="O16" s="56">
        <f t="shared" ref="O16:O23" si="8">O15+($O$24-$O$14)/10</f>
        <v>153248.20000000001</v>
      </c>
      <c r="P16" s="56">
        <f t="shared" ref="P16:P23" si="9">P15+($P$24-$P$14)/10</f>
        <v>1034.4000000000001</v>
      </c>
      <c r="Q16" s="49">
        <v>89062</v>
      </c>
      <c r="R16" s="49">
        <v>386</v>
      </c>
      <c r="S16" s="56">
        <f t="shared" si="4"/>
        <v>86763.333333333314</v>
      </c>
      <c r="T16" s="56">
        <f t="shared" si="5"/>
        <v>528.33333333333314</v>
      </c>
      <c r="U16" s="370">
        <v>74079</v>
      </c>
      <c r="V16" s="370">
        <v>410</v>
      </c>
      <c r="W16" s="49">
        <f>'Aventuria - Mythen &amp; Legenden'!Y94</f>
        <v>55585</v>
      </c>
      <c r="X16" s="49">
        <f>'Aventuria - Mythen &amp; Legenden'!Z94</f>
        <v>319</v>
      </c>
      <c r="Y16" s="55">
        <f>Tabelle3[[#This Row],[Nedime (€)]]/C$24</f>
        <v>0.60476381425936321</v>
      </c>
      <c r="Z16" s="55">
        <f>Tabelle3[[#This Row],[Nedime (Backer)]]/D$24</f>
        <v>0.56772334293948123</v>
      </c>
      <c r="AA16" s="55"/>
      <c r="AB16" s="55"/>
      <c r="AC16" s="55">
        <f>Tabelle3[[#This Row],[Werkzeuge (€)]]/Q$24</f>
        <v>0.5222321904996452</v>
      </c>
      <c r="AD16" s="55">
        <f>Tabelle3[[#This Row],[Werkzeuge (Backer)]]/R$24</f>
        <v>0.51058201058201058</v>
      </c>
      <c r="AE16" s="55"/>
      <c r="AF16" s="55"/>
      <c r="AH16" s="75"/>
      <c r="AI16" s="81">
        <f>AH15-AI15</f>
        <v>-0.51272616698965834</v>
      </c>
      <c r="AJ16" s="392"/>
      <c r="AK16" s="393"/>
      <c r="AL16" s="387"/>
      <c r="AM16" s="388">
        <f>AL15-AM15</f>
        <v>-0.22616073742649645</v>
      </c>
      <c r="AN16" s="82"/>
      <c r="AO16" s="76">
        <f>AN15-AO15</f>
        <v>8.8227360864634896E-2</v>
      </c>
    </row>
    <row r="17" spans="2:44" ht="15.75" thickBot="1" x14ac:dyDescent="0.3">
      <c r="B17">
        <v>14</v>
      </c>
      <c r="C17" s="49">
        <v>38541</v>
      </c>
      <c r="D17" s="49">
        <v>205</v>
      </c>
      <c r="E17" s="57">
        <f t="shared" si="6"/>
        <v>39193.159744366945</v>
      </c>
      <c r="F17" s="57">
        <f t="shared" si="7"/>
        <v>243.16488549618322</v>
      </c>
      <c r="G17" s="50">
        <f>Tabelle3[[#This Row],[Werkzeuge (€)]]/$Q$24*$G$24</f>
        <v>34038.035457749167</v>
      </c>
      <c r="H17" s="50">
        <f>Tabelle3[[#This Row],[Werkzeuge (Backer)]]/$R$24*$H$24</f>
        <v>184.97486772486772</v>
      </c>
      <c r="I17" s="57">
        <f>Tabelle3[[#This Row],[Mythos (€)]]/$S$24*$I$24</f>
        <v>47442.483441397053</v>
      </c>
      <c r="J17" s="57">
        <f>Tabelle3[[#This Row],[Mythos (Backer)]]/$T$24*$J$24</f>
        <v>268.99413970932949</v>
      </c>
      <c r="K17" s="50">
        <f>Tabelle3[[#This Row],[DSK (€)]]/$U$24*$I$24</f>
        <v>37955.717336196598</v>
      </c>
      <c r="L17" s="50">
        <f>Tabelle3[[#This Row],[DSK (Backer)]]/$V$24*$L$24</f>
        <v>220.57774390243901</v>
      </c>
      <c r="M17" s="50">
        <f>Tabelle3[[#This Row],[Mythen (€)]]/$W$24*$M$24</f>
        <v>39940.534105176608</v>
      </c>
      <c r="N17" s="50">
        <f>Tabelle3[[#This Row],[Mythen (Backer)]]/$X$24*$N$24</f>
        <v>231.80161943319837</v>
      </c>
      <c r="O17" s="56">
        <f t="shared" si="8"/>
        <v>167372.30000000002</v>
      </c>
      <c r="P17" s="56">
        <f t="shared" si="9"/>
        <v>1101.6000000000001</v>
      </c>
      <c r="Q17" s="49">
        <v>93109</v>
      </c>
      <c r="R17" s="49">
        <v>403</v>
      </c>
      <c r="S17" s="56">
        <f t="shared" si="4"/>
        <v>90839.666666666642</v>
      </c>
      <c r="T17" s="56">
        <f t="shared" si="5"/>
        <v>551.16666666666652</v>
      </c>
      <c r="U17" s="370">
        <v>75411</v>
      </c>
      <c r="V17" s="370">
        <v>417</v>
      </c>
      <c r="W17" s="49">
        <f>'Aventuria - Mythen &amp; Legenden'!Y95</f>
        <v>57658</v>
      </c>
      <c r="X17" s="49">
        <f>'Aventuria - Mythen &amp; Legenden'!Z95</f>
        <v>330</v>
      </c>
      <c r="Y17" s="55">
        <f>Tabelle3[[#This Row],[Nedime (€)]]/C$24</f>
        <v>0.61818910899029589</v>
      </c>
      <c r="Z17" s="55">
        <f>Tabelle3[[#This Row],[Nedime (Backer)]]/D$24</f>
        <v>0.59077809798270897</v>
      </c>
      <c r="AA17" s="55"/>
      <c r="AB17" s="55"/>
      <c r="AC17" s="55">
        <f>Tabelle3[[#This Row],[Werkzeuge (€)]]/Q$24</f>
        <v>0.54596255445904507</v>
      </c>
      <c r="AD17" s="55">
        <f>Tabelle3[[#This Row],[Werkzeuge (Backer)]]/R$24</f>
        <v>0.53306878306878303</v>
      </c>
      <c r="AE17" s="55"/>
      <c r="AF17" s="55"/>
      <c r="AI17" s="54"/>
      <c r="AK17" s="54"/>
      <c r="AM17" s="66"/>
      <c r="AO17" s="54"/>
    </row>
    <row r="18" spans="2:44" x14ac:dyDescent="0.25">
      <c r="B18">
        <v>15</v>
      </c>
      <c r="C18" s="49">
        <v>40401</v>
      </c>
      <c r="D18" s="49">
        <v>214</v>
      </c>
      <c r="E18" s="57">
        <f t="shared" si="6"/>
        <v>42500.565495171664</v>
      </c>
      <c r="F18" s="57">
        <f t="shared" si="7"/>
        <v>257.99847328244277</v>
      </c>
      <c r="G18" s="50">
        <f>Tabelle3[[#This Row],[Werkzeuge (€)]]/$Q$24*$G$24</f>
        <v>35630.832292527899</v>
      </c>
      <c r="H18" s="50">
        <f>Tabelle3[[#This Row],[Werkzeuge (Backer)]]/$R$24*$H$24</f>
        <v>193.69576719576722</v>
      </c>
      <c r="I18" s="57">
        <f>Tabelle3[[#This Row],[Mythos (€)]]/$S$24*$I$24</f>
        <v>49571.414378340327</v>
      </c>
      <c r="J18" s="57">
        <f>Tabelle3[[#This Row],[Mythos (Backer)]]/$T$24*$J$24</f>
        <v>280.13783403656817</v>
      </c>
      <c r="K18" s="50">
        <f>Tabelle3[[#This Row],[DSK (€)]]/$U$24*$I$24</f>
        <v>38763.542803629673</v>
      </c>
      <c r="L18" s="50">
        <f>Tabelle3[[#This Row],[DSK (Backer)]]/$V$24*$L$24</f>
        <v>225.86737804878047</v>
      </c>
      <c r="M18" s="50">
        <f>Tabelle3[[#This Row],[Mythen (€)]]/$W$24*$M$24</f>
        <v>40976.835035166274</v>
      </c>
      <c r="N18" s="50">
        <f>Tabelle3[[#This Row],[Mythen (Backer)]]/$X$24*$N$24</f>
        <v>236.71862348178141</v>
      </c>
      <c r="O18" s="56">
        <f t="shared" si="8"/>
        <v>181496.40000000002</v>
      </c>
      <c r="P18" s="56">
        <f t="shared" si="9"/>
        <v>1168.8000000000002</v>
      </c>
      <c r="Q18" s="49">
        <v>97466</v>
      </c>
      <c r="R18" s="49">
        <v>422</v>
      </c>
      <c r="S18" s="56">
        <f t="shared" si="4"/>
        <v>94915.999999999971</v>
      </c>
      <c r="T18" s="56">
        <f t="shared" si="5"/>
        <v>573.99999999999989</v>
      </c>
      <c r="U18" s="370">
        <v>77016</v>
      </c>
      <c r="V18" s="370">
        <v>427</v>
      </c>
      <c r="W18" s="49">
        <f>'Aventuria - Mythen &amp; Legenden'!Y96</f>
        <v>59154</v>
      </c>
      <c r="X18" s="49">
        <f>'Aventuria - Mythen &amp; Legenden'!Z96</f>
        <v>337</v>
      </c>
      <c r="Y18" s="55">
        <f>Tabelle3[[#This Row],[Nedime (€)]]/C$24</f>
        <v>0.64802309728125751</v>
      </c>
      <c r="Z18" s="55">
        <f>Tabelle3[[#This Row],[Nedime (Backer)]]/D$24</f>
        <v>0.61671469740634011</v>
      </c>
      <c r="AA18" s="55"/>
      <c r="AB18" s="55"/>
      <c r="AC18" s="55">
        <f>Tabelle3[[#This Row],[Werkzeuge (€)]]/Q$24</f>
        <v>0.57151066312499632</v>
      </c>
      <c r="AD18" s="55">
        <f>Tabelle3[[#This Row],[Werkzeuge (Backer)]]/R$24</f>
        <v>0.55820105820105825</v>
      </c>
      <c r="AE18" s="55"/>
      <c r="AF18" s="55"/>
      <c r="AH18" s="71" t="s">
        <v>106</v>
      </c>
      <c r="AI18" s="77" t="s">
        <v>106</v>
      </c>
      <c r="AJ18" s="389"/>
      <c r="AK18" s="390"/>
      <c r="AL18" s="384" t="s">
        <v>106</v>
      </c>
      <c r="AM18" s="385" t="s">
        <v>106</v>
      </c>
      <c r="AN18" s="78" t="s">
        <v>106</v>
      </c>
      <c r="AO18" s="72" t="s">
        <v>106</v>
      </c>
    </row>
    <row r="19" spans="2:44" x14ac:dyDescent="0.25">
      <c r="B19">
        <v>16</v>
      </c>
      <c r="C19" s="49">
        <v>42277</v>
      </c>
      <c r="D19" s="49">
        <v>224</v>
      </c>
      <c r="E19" s="57">
        <f t="shared" si="6"/>
        <v>45807.971245976383</v>
      </c>
      <c r="F19" s="57">
        <f t="shared" si="7"/>
        <v>272.83206106870233</v>
      </c>
      <c r="G19" s="50">
        <f>Tabelle3[[#This Row],[Werkzeuge (€)]]/$Q$24*$G$24</f>
        <v>37819.145777261772</v>
      </c>
      <c r="H19" s="50">
        <f>Tabelle3[[#This Row],[Werkzeuge (Backer)]]/$R$24*$H$24</f>
        <v>204.25264550264549</v>
      </c>
      <c r="I19" s="57">
        <f>Tabelle3[[#This Row],[Mythos (€)]]/$S$24*$I$24</f>
        <v>51700.345315283601</v>
      </c>
      <c r="J19" s="57">
        <f>Tabelle3[[#This Row],[Mythos (Backer)]]/$T$24*$J$24</f>
        <v>291.28152836380679</v>
      </c>
      <c r="K19" s="50">
        <f>Tabelle3[[#This Row],[DSK (€)]]/$U$24*$I$24</f>
        <v>40290.106443956465</v>
      </c>
      <c r="L19" s="50">
        <f>Tabelle3[[#This Row],[DSK (Backer)]]/$V$24*$L$24</f>
        <v>234.85975609756099</v>
      </c>
      <c r="M19" s="50">
        <f>Tabelle3[[#This Row],[Mythen (€)]]/$W$24*$M$24</f>
        <v>42838.851679425781</v>
      </c>
      <c r="N19" s="50">
        <f>Tabelle3[[#This Row],[Mythen (Backer)]]/$X$24*$N$24</f>
        <v>245.14777327935221</v>
      </c>
      <c r="O19" s="56">
        <f t="shared" si="8"/>
        <v>195620.50000000003</v>
      </c>
      <c r="P19" s="56">
        <f t="shared" si="9"/>
        <v>1236.0000000000002</v>
      </c>
      <c r="Q19" s="49">
        <v>103452</v>
      </c>
      <c r="R19" s="49">
        <v>445</v>
      </c>
      <c r="S19" s="56">
        <f t="shared" si="4"/>
        <v>98992.333333333299</v>
      </c>
      <c r="T19" s="56">
        <f t="shared" si="5"/>
        <v>596.83333333333326</v>
      </c>
      <c r="U19" s="370">
        <v>80049</v>
      </c>
      <c r="V19" s="370">
        <v>444</v>
      </c>
      <c r="W19" s="49">
        <f>'Aventuria - Mythen &amp; Legenden'!Y97</f>
        <v>61842</v>
      </c>
      <c r="X19" s="49">
        <f>'Aventuria - Mythen &amp; Legenden'!Z97</f>
        <v>349</v>
      </c>
      <c r="Y19" s="55">
        <f>Tabelle3[[#This Row],[Nedime (€)]]/C$24</f>
        <v>0.67811372203063602</v>
      </c>
      <c r="Z19" s="55">
        <f>Tabelle3[[#This Row],[Nedime (Backer)]]/D$24</f>
        <v>0.64553314121037464</v>
      </c>
      <c r="AA19" s="55"/>
      <c r="AB19" s="55"/>
      <c r="AC19" s="55">
        <f>Tabelle3[[#This Row],[Werkzeuge (€)]]/Q$24</f>
        <v>0.60661072703924568</v>
      </c>
      <c r="AD19" s="55">
        <f>Tabelle3[[#This Row],[Werkzeuge (Backer)]]/R$24</f>
        <v>0.58862433862433861</v>
      </c>
      <c r="AE19" s="55"/>
      <c r="AF19" s="55"/>
      <c r="AH19" s="73" t="s">
        <v>98</v>
      </c>
      <c r="AI19" s="79" t="s">
        <v>99</v>
      </c>
      <c r="AJ19" s="381"/>
      <c r="AK19" s="391"/>
      <c r="AL19" s="80" t="s">
        <v>199</v>
      </c>
      <c r="AM19" s="79" t="s">
        <v>200</v>
      </c>
      <c r="AN19" s="80" t="s">
        <v>104</v>
      </c>
      <c r="AO19" s="74" t="s">
        <v>105</v>
      </c>
      <c r="AP19" s="62" t="s">
        <v>107</v>
      </c>
      <c r="AQ19" s="69">
        <f>MIN(AH20,AL20,AN20)</f>
        <v>2.7360236785722174</v>
      </c>
      <c r="AR19" s="69">
        <f>MIN(AI20,AM20,AO20)</f>
        <v>2.6451612903225805</v>
      </c>
    </row>
    <row r="20" spans="2:44" x14ac:dyDescent="0.25">
      <c r="B20">
        <v>17</v>
      </c>
      <c r="C20" s="49">
        <v>44039</v>
      </c>
      <c r="D20" s="49">
        <v>233</v>
      </c>
      <c r="E20" s="57">
        <f t="shared" si="6"/>
        <v>49115.376996781102</v>
      </c>
      <c r="F20" s="57">
        <f t="shared" si="7"/>
        <v>287.66564885496189</v>
      </c>
      <c r="G20" s="58">
        <f>Tabelle3[[#This Row],[Werkzeuge (€)]]/$Q$24*$G$24</f>
        <v>40047.306600758762</v>
      </c>
      <c r="H20" s="50">
        <f>Tabelle3[[#This Row],[Werkzeuge (Backer)]]/$R$24*$H$24</f>
        <v>216.18650793650795</v>
      </c>
      <c r="I20" s="57">
        <f>Tabelle3[[#This Row],[Mythos (€)]]/$S$24*$I$24</f>
        <v>53829.276252226875</v>
      </c>
      <c r="J20" s="57">
        <f>Tabelle3[[#This Row],[Mythos (Backer)]]/$T$24*$J$24</f>
        <v>302.42522269104546</v>
      </c>
      <c r="K20" s="50">
        <f>Tabelle3[[#This Row],[DSK (€)]]/$U$24*$I$24</f>
        <v>43704.616083249915</v>
      </c>
      <c r="L20" s="50">
        <f>Tabelle3[[#This Row],[DSK (Backer)]]/$V$24*$L$24</f>
        <v>257.60518292682929</v>
      </c>
      <c r="M20" s="50">
        <f>Tabelle3[[#This Row],[Mythen (€)]]/$W$24*$M$24</f>
        <v>44512.449972778079</v>
      </c>
      <c r="N20" s="50">
        <f>Tabelle3[[#This Row],[Mythen (Backer)]]/$X$24*$N$24</f>
        <v>254.98178137651823</v>
      </c>
      <c r="O20" s="56">
        <f t="shared" si="8"/>
        <v>209744.60000000003</v>
      </c>
      <c r="P20" s="56">
        <f t="shared" si="9"/>
        <v>1303.2000000000003</v>
      </c>
      <c r="Q20" s="59">
        <v>109547</v>
      </c>
      <c r="R20" s="59">
        <v>471</v>
      </c>
      <c r="S20" s="56">
        <f t="shared" si="4"/>
        <v>103068.66666666663</v>
      </c>
      <c r="T20" s="56">
        <f t="shared" si="5"/>
        <v>619.66666666666663</v>
      </c>
      <c r="U20" s="370">
        <v>86833</v>
      </c>
      <c r="V20" s="370">
        <v>487</v>
      </c>
      <c r="W20" s="49">
        <f>'Aventuria - Mythen &amp; Legenden'!Y98</f>
        <v>64258</v>
      </c>
      <c r="X20" s="49">
        <f>'Aventuria - Mythen &amp; Legenden'!Z98</f>
        <v>363</v>
      </c>
      <c r="Y20" s="60">
        <f>Tabelle3[[#This Row],[Nedime (€)]]/C$24</f>
        <v>0.70637581201379418</v>
      </c>
      <c r="Z20" s="55">
        <f>Tabelle3[[#This Row],[Nedime (Backer)]]/D$24</f>
        <v>0.67146974063400577</v>
      </c>
      <c r="AA20" s="55"/>
      <c r="AB20" s="55"/>
      <c r="AC20" s="60">
        <f>Tabelle3[[#This Row],[Werkzeuge (€)]]/Q$24</f>
        <v>0.64234993344708902</v>
      </c>
      <c r="AD20" s="60">
        <f>Tabelle3[[#This Row],[Werkzeuge (Backer)]]/R$24</f>
        <v>0.62301587301587302</v>
      </c>
      <c r="AE20" s="61"/>
      <c r="AF20" s="61"/>
      <c r="AH20" s="73">
        <f>C24/C6</f>
        <v>3.5274980196899399</v>
      </c>
      <c r="AI20" s="79">
        <f>D24/D6</f>
        <v>3.8555555555555556</v>
      </c>
      <c r="AJ20" s="381"/>
      <c r="AK20" s="391"/>
      <c r="AL20" s="382">
        <f>Q24/Q6</f>
        <v>3.1639672733344466</v>
      </c>
      <c r="AM20" s="386">
        <f>R24/R6</f>
        <v>3.375</v>
      </c>
      <c r="AN20" s="382">
        <f>U24/U6</f>
        <v>2.7360236785722174</v>
      </c>
      <c r="AO20" s="383">
        <f>V24/V6</f>
        <v>2.6451612903225805</v>
      </c>
      <c r="AP20" t="s">
        <v>108</v>
      </c>
      <c r="AQ20" s="70">
        <f>MAX(AH20,AL20,AN20)</f>
        <v>3.5274980196899399</v>
      </c>
      <c r="AR20" s="70">
        <f>MAX(AI20,AM20,AO20)</f>
        <v>3.8555555555555556</v>
      </c>
    </row>
    <row r="21" spans="2:44" ht="15.75" thickBot="1" x14ac:dyDescent="0.3">
      <c r="B21">
        <v>18</v>
      </c>
      <c r="C21" s="49">
        <v>46661</v>
      </c>
      <c r="D21" s="49">
        <v>250</v>
      </c>
      <c r="E21" s="57">
        <f t="shared" si="6"/>
        <v>52422.782747585821</v>
      </c>
      <c r="F21" s="57">
        <f t="shared" si="7"/>
        <v>302.49923664122144</v>
      </c>
      <c r="G21" s="58">
        <f>Tabelle3[[#This Row],[Werkzeuge (€)]]/$Q$24*$G$24</f>
        <v>42194.310459068496</v>
      </c>
      <c r="H21" s="50">
        <f>Tabelle3[[#This Row],[Werkzeuge (Backer)]]/$R$24*$H$24</f>
        <v>229.95634920634919</v>
      </c>
      <c r="I21" s="57">
        <f>Tabelle3[[#This Row],[Mythos (€)]]/$S$24*$I$24</f>
        <v>55958.207189170149</v>
      </c>
      <c r="J21" s="57">
        <f>Tabelle3[[#This Row],[Mythos (Backer)]]/$T$24*$J$24</f>
        <v>313.56891701828408</v>
      </c>
      <c r="K21" s="50">
        <f>Tabelle3[[#This Row],[DSK (€)]]/$U$24*$I$24</f>
        <v>46292.174169276972</v>
      </c>
      <c r="L21" s="50">
        <f>Tabelle3[[#This Row],[DSK (Backer)]]/$V$24*$L$24</f>
        <v>271.88719512195121</v>
      </c>
      <c r="M21" s="50">
        <f>Tabelle3[[#This Row],[Mythen (€)]]/$W$24*$M$24</f>
        <v>46238.001855534945</v>
      </c>
      <c r="N21" s="50">
        <f>Tabelle3[[#This Row],[Mythen (Backer)]]/$X$24*$N$24</f>
        <v>264.81578947368422</v>
      </c>
      <c r="O21" s="56">
        <f t="shared" si="8"/>
        <v>223868.70000000004</v>
      </c>
      <c r="P21" s="56">
        <f t="shared" si="9"/>
        <v>1370.4000000000003</v>
      </c>
      <c r="Q21" s="59">
        <v>115420</v>
      </c>
      <c r="R21" s="59">
        <v>501</v>
      </c>
      <c r="S21" s="56">
        <f t="shared" si="4"/>
        <v>107144.99999999996</v>
      </c>
      <c r="T21" s="56">
        <f t="shared" si="5"/>
        <v>642.5</v>
      </c>
      <c r="U21" s="370">
        <v>91974</v>
      </c>
      <c r="V21" s="370">
        <v>514</v>
      </c>
      <c r="W21" s="56">
        <f>'Aventuria - Mythen &amp; Legenden'!Y99</f>
        <v>66749</v>
      </c>
      <c r="X21" s="56">
        <f>'Aventuria - Mythen &amp; Legenden'!Z99</f>
        <v>377</v>
      </c>
      <c r="Y21" s="60">
        <f>Tabelle3[[#This Row],[Nedime (€)]]/C$24</f>
        <v>0.74843211163685941</v>
      </c>
      <c r="Z21" s="55">
        <f>Tabelle3[[#This Row],[Nedime (Backer)]]/D$24</f>
        <v>0.72046109510086453</v>
      </c>
      <c r="AA21" s="55"/>
      <c r="AB21" s="55"/>
      <c r="AC21" s="60">
        <f>Tabelle3[[#This Row],[Werkzeuge (€)]]/Q$24</f>
        <v>0.67678740009733729</v>
      </c>
      <c r="AD21" s="60">
        <f>Tabelle3[[#This Row],[Werkzeuge (Backer)]]/R$24</f>
        <v>0.66269841269841268</v>
      </c>
      <c r="AE21" s="61"/>
      <c r="AF21" s="61"/>
      <c r="AH21" s="75"/>
      <c r="AI21" s="81">
        <f>AH20-AI20</f>
        <v>-0.3280575358656157</v>
      </c>
      <c r="AJ21" s="392"/>
      <c r="AK21" s="393"/>
      <c r="AL21" s="387"/>
      <c r="AM21" s="388">
        <f>AL20-AM20</f>
        <v>-0.21103272666555339</v>
      </c>
      <c r="AN21" s="82"/>
      <c r="AO21" s="76">
        <f>AN20-AO20</f>
        <v>9.0862388249636883E-2</v>
      </c>
    </row>
    <row r="22" spans="2:44" x14ac:dyDescent="0.25">
      <c r="B22">
        <v>19</v>
      </c>
      <c r="C22" s="49">
        <v>49576</v>
      </c>
      <c r="D22" s="49">
        <v>267</v>
      </c>
      <c r="E22" s="57">
        <f t="shared" si="6"/>
        <v>55730.18849839054</v>
      </c>
      <c r="F22" s="57">
        <f t="shared" si="7"/>
        <v>317.332824427481</v>
      </c>
      <c r="G22" s="58">
        <f>Tabelle3[[#This Row],[Werkzeuge (€)]]/$Q$24*$G$24</f>
        <v>45163.485554793275</v>
      </c>
      <c r="H22" s="50">
        <f>Tabelle3[[#This Row],[Werkzeuge (Backer)]]/$R$24*$H$24</f>
        <v>246.48015873015873</v>
      </c>
      <c r="I22" s="57">
        <f>Tabelle3[[#This Row],[Mythos (€)]]/$S$24*$I$24</f>
        <v>58087.138126113423</v>
      </c>
      <c r="J22" s="57">
        <f>Tabelle3[[#This Row],[Mythos (Backer)]]/$T$24*$J$24</f>
        <v>324.71261134552276</v>
      </c>
      <c r="K22" s="50">
        <f>Tabelle3[[#This Row],[DSK (€)]]/$U$24*$I$24</f>
        <v>50920.686940937128</v>
      </c>
      <c r="L22" s="50">
        <f>Tabelle3[[#This Row],[DSK (Backer)]]/$V$24*$L$24</f>
        <v>290.40091463414637</v>
      </c>
      <c r="M22" s="50">
        <f>Tabelle3[[#This Row],[Mythen (€)]]/$W$24*$M$24</f>
        <v>49482.676692481196</v>
      </c>
      <c r="N22" s="50">
        <f>Tabelle3[[#This Row],[Mythen (Backer)]]/$X$24*$N$24</f>
        <v>281.67408906882594</v>
      </c>
      <c r="O22" s="56">
        <f t="shared" si="8"/>
        <v>237992.80000000005</v>
      </c>
      <c r="P22" s="56">
        <f t="shared" si="9"/>
        <v>1437.6000000000004</v>
      </c>
      <c r="Q22" s="59">
        <v>123542</v>
      </c>
      <c r="R22" s="59">
        <v>537</v>
      </c>
      <c r="S22" s="56">
        <f t="shared" si="4"/>
        <v>111221.33333333328</v>
      </c>
      <c r="T22" s="56">
        <f t="shared" si="5"/>
        <v>665.33333333333337</v>
      </c>
      <c r="U22" s="370">
        <v>101170</v>
      </c>
      <c r="V22" s="370">
        <v>549</v>
      </c>
      <c r="W22" s="56">
        <f>'Aventuria - Mythen &amp; Legenden'!Y100</f>
        <v>71433</v>
      </c>
      <c r="X22" s="56">
        <f>'Aventuria - Mythen &amp; Legenden'!Z100</f>
        <v>401</v>
      </c>
      <c r="Y22" s="60">
        <f>Tabelle3[[#This Row],[Nedime (€)]]/C$24</f>
        <v>0.79518806640468365</v>
      </c>
      <c r="Z22" s="55">
        <f>Tabelle3[[#This Row],[Nedime (Backer)]]/D$24</f>
        <v>0.7694524495677233</v>
      </c>
      <c r="AA22" s="55"/>
      <c r="AB22" s="55"/>
      <c r="AC22" s="60">
        <f>Tabelle3[[#This Row],[Werkzeuge (€)]]/Q$24</f>
        <v>0.72441231140898665</v>
      </c>
      <c r="AD22" s="60">
        <f>Tabelle3[[#This Row],[Werkzeuge (Backer)]]/R$24</f>
        <v>0.71031746031746035</v>
      </c>
      <c r="AE22" s="61"/>
      <c r="AF22" s="61"/>
    </row>
    <row r="23" spans="2:44" s="62" customFormat="1" x14ac:dyDescent="0.25">
      <c r="B23" s="62">
        <v>20</v>
      </c>
      <c r="C23" s="59">
        <v>54612</v>
      </c>
      <c r="D23" s="59">
        <v>300</v>
      </c>
      <c r="E23" s="63">
        <f t="shared" si="6"/>
        <v>59037.594249195259</v>
      </c>
      <c r="F23" s="63">
        <f t="shared" si="7"/>
        <v>332.16641221374056</v>
      </c>
      <c r="G23" s="58">
        <f>Tabelle3[[#This Row],[Werkzeuge (€)]]/$Q$24*$G$24</f>
        <v>47642.79428407245</v>
      </c>
      <c r="H23" s="58">
        <f>Tabelle3[[#This Row],[Werkzeuge (Backer)]]/$R$24*$H$24</f>
        <v>264.38095238095235</v>
      </c>
      <c r="I23" s="63">
        <f>Tabelle3[[#This Row],[Mythos (€)]]/$S$24*$I$24</f>
        <v>60216.069063056697</v>
      </c>
      <c r="J23" s="63">
        <f>Tabelle3[[#This Row],[Mythos (Backer)]]/$T$24*$J$24</f>
        <v>335.85630567276144</v>
      </c>
      <c r="K23" s="50">
        <f>Tabelle3[[#This Row],[DSK (€)]]/$U$24*$I$24</f>
        <v>54792.209368036936</v>
      </c>
      <c r="L23" s="50">
        <f>Tabelle3[[#This Row],[DSK (Backer)]]/$V$24*$L$24</f>
        <v>308.91463414634148</v>
      </c>
      <c r="M23" s="50">
        <f>Tabelle3[[#This Row],[Mythen (€)]]/$W$24*$M$24</f>
        <v>54719.598504461064</v>
      </c>
      <c r="N23" s="50">
        <f>Tabelle3[[#This Row],[Mythen (Backer)]]/$X$24*$N$24</f>
        <v>309.06882591093114</v>
      </c>
      <c r="O23" s="64">
        <f t="shared" si="8"/>
        <v>252116.90000000005</v>
      </c>
      <c r="P23" s="64">
        <f t="shared" si="9"/>
        <v>1504.8000000000004</v>
      </c>
      <c r="Q23" s="59">
        <v>130324</v>
      </c>
      <c r="R23" s="59">
        <v>576</v>
      </c>
      <c r="S23" s="64">
        <f t="shared" si="4"/>
        <v>115297.66666666661</v>
      </c>
      <c r="T23" s="64">
        <f t="shared" si="5"/>
        <v>688.16666666666674</v>
      </c>
      <c r="U23" s="371">
        <v>108862</v>
      </c>
      <c r="V23" s="371">
        <v>584</v>
      </c>
      <c r="W23" s="56">
        <f>'Aventuria - Mythen &amp; Legenden'!Y101</f>
        <v>78993</v>
      </c>
      <c r="X23" s="56">
        <f>'Aventuria - Mythen &amp; Legenden'!Z101</f>
        <v>440</v>
      </c>
      <c r="Y23" s="60">
        <f>Tabelle3[[#This Row],[Nedime (€)]]/C$24</f>
        <v>0.87596439169139462</v>
      </c>
      <c r="Z23" s="60">
        <f>Tabelle3[[#This Row],[Nedime (Backer)]]/D$24</f>
        <v>0.86455331412103742</v>
      </c>
      <c r="AA23" s="60"/>
      <c r="AB23" s="60"/>
      <c r="AC23" s="60">
        <f>Tabelle3[[#This Row],[Werkzeuge (€)]]/Q$24</f>
        <v>0.76417987463425219</v>
      </c>
      <c r="AD23" s="60">
        <f>Tabelle3[[#This Row],[Werkzeuge (Backer)]]/R$24</f>
        <v>0.76190476190476186</v>
      </c>
      <c r="AE23" s="60"/>
      <c r="AF23" s="60"/>
    </row>
    <row r="24" spans="2:44" x14ac:dyDescent="0.25">
      <c r="B24">
        <v>21</v>
      </c>
      <c r="C24" s="49">
        <v>62345</v>
      </c>
      <c r="D24" s="49">
        <v>347</v>
      </c>
      <c r="E24" s="50">
        <f>Tabelle3[[#This Row],[Nedime (€)]]</f>
        <v>62345</v>
      </c>
      <c r="F24" s="50">
        <f>Tabelle3[[#This Row],[Nedime (Backer)]]</f>
        <v>347</v>
      </c>
      <c r="G24" s="58">
        <f>Tabelle3[[#This Row],[Nedime (€)]]</f>
        <v>62345</v>
      </c>
      <c r="H24" s="58">
        <f>Tabelle3[[#This Row],[Nedime (Backer)]]</f>
        <v>347</v>
      </c>
      <c r="I24" s="58">
        <f>Tabelle3[[#This Row],[Nedime (€)]]</f>
        <v>62345</v>
      </c>
      <c r="J24" s="58">
        <f>Tabelle3[[#This Row],[Nedime (Backer)]]</f>
        <v>347</v>
      </c>
      <c r="K24" s="58">
        <f>Tabelle3[[#This Row],[Nedime (€)]]</f>
        <v>62345</v>
      </c>
      <c r="L24" s="58">
        <f>Tabelle3[[#This Row],[Nedime (Backer)]]</f>
        <v>347</v>
      </c>
      <c r="M24" s="58">
        <f>Tabelle3[[#This Row],[Nedime (€)]]</f>
        <v>62345</v>
      </c>
      <c r="N24" s="58">
        <f>Tabelle3[[#This Row],[Nedime (Backer)]]</f>
        <v>347</v>
      </c>
      <c r="O24" s="49">
        <v>266241</v>
      </c>
      <c r="P24" s="49">
        <v>1572</v>
      </c>
      <c r="Q24" s="59">
        <v>170541</v>
      </c>
      <c r="R24" s="59">
        <v>756</v>
      </c>
      <c r="S24" s="59">
        <v>119374</v>
      </c>
      <c r="T24" s="59">
        <v>711</v>
      </c>
      <c r="U24" s="371">
        <v>123868</v>
      </c>
      <c r="V24" s="371">
        <v>656</v>
      </c>
      <c r="W24" s="56">
        <f>'Aventuria - Mythen &amp; Legenden'!Y102</f>
        <v>90001</v>
      </c>
      <c r="X24" s="56">
        <f>'Aventuria - Mythen &amp; Legenden'!Z107</f>
        <v>494</v>
      </c>
      <c r="Y24" s="60">
        <f>Tabelle3[[#This Row],[Nedime (€)]]/C$24</f>
        <v>1</v>
      </c>
      <c r="Z24" s="60">
        <f>Tabelle3[[#This Row],[Nedime (Backer)]]/D$24</f>
        <v>1</v>
      </c>
      <c r="AA24" s="55">
        <f>Tabelle3[[#This Row],[Thorwal (€)]]/O$24</f>
        <v>1</v>
      </c>
      <c r="AB24" s="55">
        <f>Tabelle3[[#This Row],[Thorwal (Backer)]]/P$24</f>
        <v>1</v>
      </c>
      <c r="AC24" s="60">
        <f>Tabelle3[[#This Row],[Werkzeuge (€)]]/Q$24</f>
        <v>1</v>
      </c>
      <c r="AD24" s="60">
        <f>Tabelle3[[#This Row],[Werkzeuge (Backer)]]/R$24</f>
        <v>1</v>
      </c>
      <c r="AE24" s="60">
        <f>Tabelle3[[#This Row],[Mythos (€)]]/S$24</f>
        <v>1</v>
      </c>
      <c r="AF24" s="60">
        <f>Tabelle3[[#This Row],[Mythos (Backer)]]/T$24</f>
        <v>1</v>
      </c>
    </row>
    <row r="25" spans="2:44" x14ac:dyDescent="0.25">
      <c r="G25" s="58"/>
      <c r="H25" s="58"/>
      <c r="I25" s="58"/>
      <c r="J25" s="58"/>
      <c r="K25" s="58"/>
      <c r="L25" s="58"/>
      <c r="M25" s="58"/>
      <c r="N25" s="58"/>
    </row>
    <row r="26" spans="2:44" x14ac:dyDescent="0.25">
      <c r="T26" s="84"/>
      <c r="U26" s="84"/>
      <c r="V26" s="84"/>
      <c r="W26" s="85"/>
      <c r="X26" s="86"/>
    </row>
    <row r="27" spans="2:44" x14ac:dyDescent="0.25">
      <c r="T27" s="84"/>
      <c r="U27" s="84"/>
      <c r="V27" s="84"/>
      <c r="W27" s="85"/>
      <c r="X27" s="85"/>
      <c r="Y27" s="85"/>
      <c r="Z27" s="85"/>
    </row>
    <row r="28" spans="2:44" x14ac:dyDescent="0.25">
      <c r="W28" s="83">
        <f>W5/U5</f>
        <v>0.57507208326496162</v>
      </c>
      <c r="X28" s="83">
        <f>X5/V5</f>
        <v>0.62231759656652363</v>
      </c>
      <c r="Y28" s="83"/>
      <c r="Z28" s="83"/>
    </row>
    <row r="29" spans="2:44" x14ac:dyDescent="0.25">
      <c r="W29" s="83">
        <f>U6*0.58</f>
        <v>26258.339999999997</v>
      </c>
      <c r="X29" s="83">
        <f>V6*0.62</f>
        <v>153.76</v>
      </c>
      <c r="Y29" s="83"/>
      <c r="Z29" s="83"/>
    </row>
    <row r="30" spans="2:44" x14ac:dyDescent="0.25">
      <c r="T30" s="84"/>
      <c r="U30" s="84"/>
      <c r="V30" s="84"/>
      <c r="W30" s="83">
        <f t="shared" ref="W30:W47" si="10">U7*0.58</f>
        <v>27815.059999999998</v>
      </c>
      <c r="X30" s="83">
        <f t="shared" ref="X30:X47" si="11">V7*0.62</f>
        <v>163.68</v>
      </c>
      <c r="Y30" s="85"/>
      <c r="Z30" s="85"/>
    </row>
    <row r="31" spans="2:44" x14ac:dyDescent="0.25">
      <c r="T31" s="84"/>
      <c r="U31" s="84"/>
      <c r="V31" s="84"/>
      <c r="W31" s="83">
        <f t="shared" si="10"/>
        <v>29442.539999999997</v>
      </c>
      <c r="X31" s="83">
        <f t="shared" si="11"/>
        <v>173.6</v>
      </c>
      <c r="Y31" s="85"/>
      <c r="Z31" s="85"/>
    </row>
    <row r="32" spans="2:44" x14ac:dyDescent="0.25">
      <c r="W32" s="83">
        <f t="shared" si="10"/>
        <v>31220.819999999996</v>
      </c>
      <c r="X32" s="83">
        <f t="shared" si="11"/>
        <v>182.28</v>
      </c>
      <c r="Y32" s="83"/>
      <c r="Z32" s="83"/>
    </row>
    <row r="33" spans="23:24" x14ac:dyDescent="0.25">
      <c r="W33" s="83">
        <f t="shared" si="10"/>
        <v>32468.98</v>
      </c>
      <c r="X33" s="83">
        <f t="shared" si="11"/>
        <v>190.96</v>
      </c>
    </row>
    <row r="34" spans="23:24" x14ac:dyDescent="0.25">
      <c r="W34" s="83">
        <f t="shared" si="10"/>
        <v>34101.1</v>
      </c>
      <c r="X34" s="83">
        <f t="shared" si="11"/>
        <v>201.5</v>
      </c>
    </row>
    <row r="35" spans="23:24" x14ac:dyDescent="0.25">
      <c r="W35" s="83">
        <f t="shared" si="10"/>
        <v>36714</v>
      </c>
      <c r="X35" s="83">
        <f t="shared" si="11"/>
        <v>217</v>
      </c>
    </row>
    <row r="36" spans="23:24" x14ac:dyDescent="0.25">
      <c r="W36" s="83">
        <f t="shared" si="10"/>
        <v>38657</v>
      </c>
      <c r="X36" s="83">
        <f t="shared" si="11"/>
        <v>228.78</v>
      </c>
    </row>
    <row r="37" spans="23:24" x14ac:dyDescent="0.25">
      <c r="W37" s="83">
        <f t="shared" si="10"/>
        <v>40407.439999999995</v>
      </c>
      <c r="X37" s="83">
        <f t="shared" si="11"/>
        <v>239.32</v>
      </c>
    </row>
    <row r="38" spans="23:24" x14ac:dyDescent="0.25">
      <c r="W38" s="83">
        <f t="shared" si="10"/>
        <v>41345.879999999997</v>
      </c>
      <c r="X38" s="83">
        <f t="shared" si="11"/>
        <v>244.9</v>
      </c>
    </row>
    <row r="39" spans="23:24" x14ac:dyDescent="0.25">
      <c r="W39" s="83">
        <f t="shared" si="10"/>
        <v>42965.82</v>
      </c>
      <c r="X39" s="83">
        <f t="shared" si="11"/>
        <v>254.2</v>
      </c>
    </row>
    <row r="40" spans="23:24" x14ac:dyDescent="0.25">
      <c r="W40" s="83">
        <f t="shared" si="10"/>
        <v>43738.38</v>
      </c>
      <c r="X40" s="83">
        <f t="shared" si="11"/>
        <v>258.54000000000002</v>
      </c>
    </row>
    <row r="41" spans="23:24" x14ac:dyDescent="0.25">
      <c r="W41" s="83">
        <f t="shared" si="10"/>
        <v>44669.279999999999</v>
      </c>
      <c r="X41" s="83">
        <f t="shared" si="11"/>
        <v>264.74</v>
      </c>
    </row>
    <row r="42" spans="23:24" x14ac:dyDescent="0.25">
      <c r="W42" s="83">
        <f t="shared" si="10"/>
        <v>46428.42</v>
      </c>
      <c r="X42" s="83">
        <f t="shared" si="11"/>
        <v>275.27999999999997</v>
      </c>
    </row>
    <row r="43" spans="23:24" x14ac:dyDescent="0.25">
      <c r="W43" s="83">
        <f t="shared" si="10"/>
        <v>50363.14</v>
      </c>
      <c r="X43" s="83">
        <f t="shared" si="11"/>
        <v>301.94</v>
      </c>
    </row>
    <row r="44" spans="23:24" x14ac:dyDescent="0.25">
      <c r="W44" s="83">
        <f t="shared" si="10"/>
        <v>53344.92</v>
      </c>
      <c r="X44" s="83">
        <f t="shared" si="11"/>
        <v>318.68</v>
      </c>
    </row>
    <row r="45" spans="23:24" x14ac:dyDescent="0.25">
      <c r="W45" s="83">
        <f t="shared" si="10"/>
        <v>58678.6</v>
      </c>
      <c r="X45" s="83">
        <f t="shared" si="11"/>
        <v>340.38</v>
      </c>
    </row>
    <row r="46" spans="23:24" x14ac:dyDescent="0.25">
      <c r="W46" s="83">
        <f t="shared" si="10"/>
        <v>63139.96</v>
      </c>
      <c r="X46" s="83">
        <f t="shared" si="11"/>
        <v>362.08</v>
      </c>
    </row>
    <row r="47" spans="23:24" x14ac:dyDescent="0.25">
      <c r="W47" s="83">
        <f t="shared" si="10"/>
        <v>71843.44</v>
      </c>
      <c r="X47" s="83">
        <f t="shared" si="11"/>
        <v>406.71999999999997</v>
      </c>
    </row>
  </sheetData>
  <phoneticPr fontId="6" type="noConversion"/>
  <conditionalFormatting sqref="Y3:AF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5:AO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9:AO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0:AO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Aventuria - Mythen &amp; Legenden</vt:lpstr>
      <vt:lpstr>Vergleich</vt:lpstr>
      <vt:lpstr>'Aventuria - Mythen &amp; Legenden'!Druckbereich</vt:lpstr>
      <vt:lpstr>'Aventuria - Mythen &amp; Legenden'!Drucktitel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Gernot</dc:creator>
  <cp:lastModifiedBy>Gernot</cp:lastModifiedBy>
  <cp:lastPrinted>2021-03-13T16:36:25Z</cp:lastPrinted>
  <dcterms:created xsi:type="dcterms:W3CDTF">2021-01-19T21:15:58Z</dcterms:created>
  <dcterms:modified xsi:type="dcterms:W3CDTF">2021-03-13T16:36:54Z</dcterms:modified>
</cp:coreProperties>
</file>