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isc\DSA\CFs\DSK\Fasar\"/>
    </mc:Choice>
  </mc:AlternateContent>
  <xr:revisionPtr revIDLastSave="0" documentId="13_ncr:1_{ABE5DCC8-CB95-4C23-9013-6EE7272D1D80}" xr6:coauthVersionLast="46" xr6:coauthVersionMax="46" xr10:uidLastSave="{00000000-0000-0000-0000-000000000000}"/>
  <bookViews>
    <workbookView xWindow="-120" yWindow="-120" windowWidth="35685" windowHeight="21840" xr2:uid="{3C0DC3EB-12BA-4DE2-BE53-BC5B92B614A4}"/>
  </bookViews>
  <sheets>
    <sheet name="DSK - Fasar" sheetId="1" r:id="rId1"/>
    <sheet name="Vergleich" sheetId="2" state="hidden" r:id="rId2"/>
  </sheets>
  <definedNames>
    <definedName name="_xlnm.Print_Area" localSheetId="0">'DSK - Fasar'!$D$1:$Q$159</definedName>
    <definedName name="_xlnm.Print_Titles" localSheetId="0">'DSK - Fasar'!$1:$10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4" i="2" l="1"/>
  <c r="T24" i="2"/>
  <c r="AM148" i="1"/>
  <c r="AM149" i="1"/>
  <c r="AM150" i="1"/>
  <c r="AK150" i="1"/>
  <c r="S28" i="1"/>
  <c r="I132" i="1"/>
  <c r="S22" i="2"/>
  <c r="T22" i="2"/>
  <c r="S23" i="2"/>
  <c r="T23" i="2"/>
  <c r="AK149" i="1"/>
  <c r="AK148" i="1"/>
  <c r="S44" i="1"/>
  <c r="S43" i="1"/>
  <c r="S88" i="1" s="1"/>
  <c r="S42" i="1"/>
  <c r="S87" i="1" s="1"/>
  <c r="S41" i="1"/>
  <c r="S86" i="1" s="1"/>
  <c r="S40" i="1"/>
  <c r="S89" i="1"/>
  <c r="AG105" i="1"/>
  <c r="S21" i="2"/>
  <c r="T21" i="2"/>
  <c r="AK147" i="1"/>
  <c r="AG109" i="1" s="1"/>
  <c r="S45" i="1"/>
  <c r="S18" i="2"/>
  <c r="T18" i="2"/>
  <c r="S19" i="2"/>
  <c r="T19" i="2"/>
  <c r="S20" i="2"/>
  <c r="T20" i="2"/>
  <c r="AK146" i="1"/>
  <c r="AG107" i="1" s="1"/>
  <c r="AK145" i="1"/>
  <c r="AG113" i="1" s="1"/>
  <c r="AK144" i="1"/>
  <c r="AG122" i="1" s="1"/>
  <c r="S39" i="1"/>
  <c r="S84" i="1" s="1"/>
  <c r="S15" i="2"/>
  <c r="T15" i="2"/>
  <c r="S16" i="2"/>
  <c r="T16" i="2"/>
  <c r="S17" i="2"/>
  <c r="T17" i="2"/>
  <c r="AK143" i="1"/>
  <c r="AG123" i="1" s="1"/>
  <c r="AK142" i="1"/>
  <c r="AG117" i="1" s="1"/>
  <c r="AK141" i="1"/>
  <c r="AG121" i="1" s="1"/>
  <c r="S11" i="2"/>
  <c r="T11" i="2"/>
  <c r="S12" i="2"/>
  <c r="T12" i="2"/>
  <c r="S13" i="2"/>
  <c r="T13" i="2"/>
  <c r="S14" i="2"/>
  <c r="T14" i="2"/>
  <c r="AK140" i="1"/>
  <c r="AG114" i="1" s="1"/>
  <c r="E2" i="1"/>
  <c r="AK139" i="1"/>
  <c r="AG111" i="1" s="1"/>
  <c r="AK138" i="1"/>
  <c r="AG110" i="1" s="1"/>
  <c r="S10" i="2"/>
  <c r="T10" i="2"/>
  <c r="S8" i="2"/>
  <c r="T8" i="2"/>
  <c r="S9" i="2"/>
  <c r="T9" i="2"/>
  <c r="AG106" i="1"/>
  <c r="AK137" i="1"/>
  <c r="AG115" i="1" s="1"/>
  <c r="AK136" i="1"/>
  <c r="AG120" i="1" s="1"/>
  <c r="AK135" i="1"/>
  <c r="AG112" i="1" s="1"/>
  <c r="AK134" i="1"/>
  <c r="P82" i="1"/>
  <c r="S6" i="2"/>
  <c r="T6" i="2"/>
  <c r="S7" i="2"/>
  <c r="T7" i="2"/>
  <c r="AK130" i="1"/>
  <c r="AK131" i="1"/>
  <c r="AK132" i="1"/>
  <c r="AG119" i="1" s="1"/>
  <c r="AK133" i="1"/>
  <c r="AG118" i="1" s="1"/>
  <c r="AD132" i="1"/>
  <c r="AB132" i="1"/>
  <c r="AC132" i="1" s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29" i="1"/>
  <c r="BE150" i="1"/>
  <c r="BE149" i="1"/>
  <c r="BE148" i="1"/>
  <c r="BE147" i="1"/>
  <c r="BE146" i="1"/>
  <c r="BE145" i="1"/>
  <c r="BE144" i="1"/>
  <c r="BE143" i="1"/>
  <c r="BE142" i="1"/>
  <c r="BE141" i="1"/>
  <c r="BE140" i="1"/>
  <c r="BE139" i="1"/>
  <c r="BE138" i="1"/>
  <c r="BE137" i="1"/>
  <c r="BE136" i="1"/>
  <c r="BE135" i="1"/>
  <c r="BE134" i="1"/>
  <c r="BE133" i="1"/>
  <c r="BE132" i="1"/>
  <c r="BE131" i="1"/>
  <c r="BE130" i="1"/>
  <c r="BE129" i="1"/>
  <c r="AG158" i="1"/>
  <c r="AT124" i="1"/>
  <c r="AU107" i="1" s="1"/>
  <c r="AT153" i="1"/>
  <c r="AT154" i="1" s="1"/>
  <c r="AU129" i="1"/>
  <c r="AX128" i="1"/>
  <c r="AX129" i="1" s="1"/>
  <c r="AX130" i="1" s="1"/>
  <c r="AX131" i="1" s="1"/>
  <c r="AX132" i="1" s="1"/>
  <c r="AX133" i="1" s="1"/>
  <c r="AX134" i="1" s="1"/>
  <c r="AX135" i="1" s="1"/>
  <c r="AX136" i="1" s="1"/>
  <c r="AX137" i="1" s="1"/>
  <c r="AX138" i="1" s="1"/>
  <c r="AX139" i="1" s="1"/>
  <c r="AX140" i="1" s="1"/>
  <c r="AX141" i="1" s="1"/>
  <c r="AX142" i="1" s="1"/>
  <c r="AX143" i="1" s="1"/>
  <c r="AX144" i="1" s="1"/>
  <c r="AX145" i="1" s="1"/>
  <c r="AX146" i="1" s="1"/>
  <c r="AX147" i="1" s="1"/>
  <c r="AX148" i="1" s="1"/>
  <c r="AX149" i="1" s="1"/>
  <c r="AX150" i="1" s="1"/>
  <c r="AN15" i="2"/>
  <c r="AN14" i="2"/>
  <c r="AM15" i="2"/>
  <c r="AM14" i="2"/>
  <c r="AN9" i="2"/>
  <c r="AN8" i="2"/>
  <c r="AM9" i="2"/>
  <c r="AM8" i="2"/>
  <c r="AG9" i="2"/>
  <c r="AF9" i="2"/>
  <c r="AE9" i="2"/>
  <c r="AD9" i="2"/>
  <c r="AI15" i="2"/>
  <c r="AH15" i="2"/>
  <c r="AI16" i="2" s="1"/>
  <c r="AG15" i="2"/>
  <c r="AF15" i="2"/>
  <c r="AE15" i="2"/>
  <c r="AE16" i="2" s="1"/>
  <c r="AD15" i="2"/>
  <c r="AG16" i="2"/>
  <c r="K24" i="2"/>
  <c r="L24" i="2"/>
  <c r="T5" i="2"/>
  <c r="T31" i="2" s="1"/>
  <c r="T4" i="2"/>
  <c r="T30" i="2" s="1"/>
  <c r="T3" i="2"/>
  <c r="Q26" i="2"/>
  <c r="AB24" i="2"/>
  <c r="AA24" i="2"/>
  <c r="Y24" i="2"/>
  <c r="X24" i="2"/>
  <c r="W24" i="2"/>
  <c r="V24" i="2"/>
  <c r="U24" i="2"/>
  <c r="J24" i="2"/>
  <c r="I24" i="2"/>
  <c r="H24" i="2"/>
  <c r="H18" i="2" s="1"/>
  <c r="G24" i="2"/>
  <c r="G18" i="2" s="1"/>
  <c r="F24" i="2"/>
  <c r="F14" i="2" s="1"/>
  <c r="F15" i="2" s="1"/>
  <c r="F16" i="2" s="1"/>
  <c r="F17" i="2" s="1"/>
  <c r="F18" i="2" s="1"/>
  <c r="F19" i="2" s="1"/>
  <c r="F20" i="2" s="1"/>
  <c r="F21" i="2" s="1"/>
  <c r="F22" i="2" s="1"/>
  <c r="F23" i="2" s="1"/>
  <c r="E24" i="2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Z23" i="2"/>
  <c r="V23" i="2"/>
  <c r="U23" i="2"/>
  <c r="Z22" i="2"/>
  <c r="V22" i="2"/>
  <c r="U22" i="2"/>
  <c r="Z21" i="2"/>
  <c r="V21" i="2"/>
  <c r="U21" i="2"/>
  <c r="Z20" i="2"/>
  <c r="V20" i="2"/>
  <c r="U20" i="2"/>
  <c r="Z19" i="2"/>
  <c r="V19" i="2"/>
  <c r="U19" i="2"/>
  <c r="Y19" i="2"/>
  <c r="H19" i="2"/>
  <c r="G19" i="2"/>
  <c r="Z18" i="2"/>
  <c r="Y18" i="2"/>
  <c r="V18" i="2"/>
  <c r="U18" i="2"/>
  <c r="Y17" i="2"/>
  <c r="V17" i="2"/>
  <c r="U17" i="2"/>
  <c r="Z16" i="2"/>
  <c r="Y16" i="2"/>
  <c r="V16" i="2"/>
  <c r="U16" i="2"/>
  <c r="Y15" i="2"/>
  <c r="V15" i="2"/>
  <c r="U15" i="2"/>
  <c r="N15" i="2"/>
  <c r="N16" i="2" s="1"/>
  <c r="N17" i="2" s="1"/>
  <c r="N18" i="2" s="1"/>
  <c r="N19" i="2" s="1"/>
  <c r="N20" i="2" s="1"/>
  <c r="N21" i="2" s="1"/>
  <c r="N22" i="2" s="1"/>
  <c r="N23" i="2" s="1"/>
  <c r="M15" i="2"/>
  <c r="M16" i="2" s="1"/>
  <c r="M17" i="2" s="1"/>
  <c r="M18" i="2" s="1"/>
  <c r="M19" i="2" s="1"/>
  <c r="M20" i="2" s="1"/>
  <c r="M21" i="2" s="1"/>
  <c r="M22" i="2" s="1"/>
  <c r="M23" i="2" s="1"/>
  <c r="H15" i="2"/>
  <c r="Z14" i="2"/>
  <c r="Y14" i="2"/>
  <c r="X14" i="2"/>
  <c r="W14" i="2"/>
  <c r="V14" i="2"/>
  <c r="U14" i="2"/>
  <c r="Y13" i="2"/>
  <c r="V13" i="2"/>
  <c r="U13" i="2"/>
  <c r="Z12" i="2"/>
  <c r="Y12" i="2"/>
  <c r="V12" i="2"/>
  <c r="U12" i="2"/>
  <c r="Y11" i="2"/>
  <c r="V11" i="2"/>
  <c r="U11" i="2"/>
  <c r="Z10" i="2"/>
  <c r="Y10" i="2"/>
  <c r="V10" i="2"/>
  <c r="U10" i="2"/>
  <c r="Y9" i="2"/>
  <c r="V9" i="2"/>
  <c r="U9" i="2"/>
  <c r="Z8" i="2"/>
  <c r="Y8" i="2"/>
  <c r="V8" i="2"/>
  <c r="U8" i="2"/>
  <c r="Y7" i="2"/>
  <c r="V7" i="2"/>
  <c r="U7" i="2"/>
  <c r="R7" i="2"/>
  <c r="R8" i="2" s="1"/>
  <c r="R9" i="2" s="1"/>
  <c r="R10" i="2" s="1"/>
  <c r="R11" i="2" s="1"/>
  <c r="R12" i="2" s="1"/>
  <c r="Q7" i="2"/>
  <c r="AB6" i="2"/>
  <c r="AA6" i="2"/>
  <c r="Y6" i="2"/>
  <c r="V6" i="2"/>
  <c r="U6" i="2"/>
  <c r="Y5" i="2"/>
  <c r="V5" i="2"/>
  <c r="U5" i="2"/>
  <c r="N5" i="2"/>
  <c r="N6" i="2" s="1"/>
  <c r="N7" i="2" s="1"/>
  <c r="N8" i="2" s="1"/>
  <c r="N9" i="2" s="1"/>
  <c r="N10" i="2" s="1"/>
  <c r="N11" i="2" s="1"/>
  <c r="N12" i="2" s="1"/>
  <c r="N13" i="2" s="1"/>
  <c r="M5" i="2"/>
  <c r="M6" i="2" s="1"/>
  <c r="M7" i="2" s="1"/>
  <c r="M8" i="2" s="1"/>
  <c r="M9" i="2" s="1"/>
  <c r="M10" i="2" s="1"/>
  <c r="M11" i="2" s="1"/>
  <c r="M12" i="2" s="1"/>
  <c r="M13" i="2" s="1"/>
  <c r="Z4" i="2"/>
  <c r="Y4" i="2"/>
  <c r="X4" i="2"/>
  <c r="W4" i="2"/>
  <c r="V4" i="2"/>
  <c r="U4" i="2"/>
  <c r="R4" i="2"/>
  <c r="R5" i="2" s="1"/>
  <c r="Q4" i="2"/>
  <c r="Q5" i="2" s="1"/>
  <c r="AB3" i="2"/>
  <c r="AA3" i="2"/>
  <c r="Z3" i="2"/>
  <c r="Y3" i="2"/>
  <c r="X3" i="2"/>
  <c r="W3" i="2"/>
  <c r="V3" i="2"/>
  <c r="U3" i="2"/>
  <c r="AZ150" i="1"/>
  <c r="AZ149" i="1"/>
  <c r="AZ148" i="1"/>
  <c r="AZ147" i="1"/>
  <c r="AZ146" i="1"/>
  <c r="AZ145" i="1"/>
  <c r="AZ144" i="1"/>
  <c r="AZ143" i="1"/>
  <c r="AZ142" i="1"/>
  <c r="AZ141" i="1"/>
  <c r="AZ140" i="1"/>
  <c r="AZ139" i="1"/>
  <c r="AZ138" i="1"/>
  <c r="AZ137" i="1"/>
  <c r="AZ136" i="1"/>
  <c r="AZ135" i="1"/>
  <c r="AZ134" i="1"/>
  <c r="AZ133" i="1"/>
  <c r="AZ132" i="1"/>
  <c r="AZ131" i="1"/>
  <c r="AZ130" i="1"/>
  <c r="AU146" i="1"/>
  <c r="BC151" i="1"/>
  <c r="BC141" i="1"/>
  <c r="BC131" i="1"/>
  <c r="AY151" i="1"/>
  <c r="AW151" i="1"/>
  <c r="AK129" i="1"/>
  <c r="AH129" i="1"/>
  <c r="AD129" i="1"/>
  <c r="AE129" i="1" s="1"/>
  <c r="AB129" i="1"/>
  <c r="AC129" i="1" s="1"/>
  <c r="X129" i="1"/>
  <c r="U129" i="1"/>
  <c r="AA130" i="1"/>
  <c r="AA131" i="1"/>
  <c r="AD131" i="1" s="1"/>
  <c r="AD152" i="1" s="1"/>
  <c r="AA128" i="1"/>
  <c r="AF129" i="1" s="1"/>
  <c r="AG103" i="1" l="1"/>
  <c r="AG108" i="1"/>
  <c r="BE151" i="1"/>
  <c r="AG116" i="1"/>
  <c r="S85" i="1"/>
  <c r="AK158" i="1"/>
  <c r="BF151" i="1"/>
  <c r="AD158" i="1"/>
  <c r="AL129" i="1"/>
  <c r="BD131" i="1"/>
  <c r="AU122" i="1"/>
  <c r="AU118" i="1"/>
  <c r="AU114" i="1"/>
  <c r="AU110" i="1"/>
  <c r="AU106" i="1"/>
  <c r="S4" i="2"/>
  <c r="S26" i="2" s="1"/>
  <c r="AU105" i="1"/>
  <c r="AU121" i="1"/>
  <c r="AU117" i="1"/>
  <c r="AU113" i="1"/>
  <c r="AU109" i="1"/>
  <c r="AU124" i="1"/>
  <c r="AU120" i="1"/>
  <c r="AU116" i="1"/>
  <c r="AU112" i="1"/>
  <c r="AU108" i="1"/>
  <c r="AU123" i="1"/>
  <c r="AU119" i="1"/>
  <c r="AU115" i="1"/>
  <c r="AU111" i="1"/>
  <c r="BA131" i="1"/>
  <c r="S3" i="2"/>
  <c r="S5" i="2"/>
  <c r="S27" i="2" s="1"/>
  <c r="T32" i="2"/>
  <c r="AG154" i="1" s="1"/>
  <c r="T26" i="2"/>
  <c r="T27" i="2"/>
  <c r="F4" i="2"/>
  <c r="I5" i="2"/>
  <c r="J4" i="2"/>
  <c r="E4" i="2"/>
  <c r="E5" i="2" s="1"/>
  <c r="E6" i="2" s="1"/>
  <c r="E7" i="2" s="1"/>
  <c r="E8" i="2" s="1"/>
  <c r="E9" i="2" s="1"/>
  <c r="E10" i="2" s="1"/>
  <c r="E11" i="2" s="1"/>
  <c r="E12" i="2" s="1"/>
  <c r="E13" i="2" s="1"/>
  <c r="I4" i="2"/>
  <c r="I6" i="2"/>
  <c r="I7" i="2"/>
  <c r="H7" i="2"/>
  <c r="H9" i="2"/>
  <c r="H20" i="2"/>
  <c r="H21" i="2"/>
  <c r="H22" i="2"/>
  <c r="H23" i="2"/>
  <c r="H5" i="2"/>
  <c r="H11" i="2"/>
  <c r="H13" i="2"/>
  <c r="H17" i="2"/>
  <c r="AE10" i="2"/>
  <c r="J6" i="2"/>
  <c r="G5" i="2"/>
  <c r="G8" i="2"/>
  <c r="G16" i="2"/>
  <c r="F5" i="2"/>
  <c r="F6" i="2" s="1"/>
  <c r="F7" i="2" s="1"/>
  <c r="F8" i="2" s="1"/>
  <c r="F9" i="2" s="1"/>
  <c r="F10" i="2" s="1"/>
  <c r="F11" i="2" s="1"/>
  <c r="F12" i="2" s="1"/>
  <c r="F13" i="2" s="1"/>
  <c r="G4" i="2"/>
  <c r="G11" i="2"/>
  <c r="G15" i="2"/>
  <c r="G17" i="2"/>
  <c r="G6" i="2"/>
  <c r="G9" i="2"/>
  <c r="G12" i="2"/>
  <c r="G14" i="2"/>
  <c r="AG10" i="2"/>
  <c r="G7" i="2"/>
  <c r="G10" i="2"/>
  <c r="G13" i="2"/>
  <c r="R13" i="2"/>
  <c r="R14" i="2" s="1"/>
  <c r="J12" i="2"/>
  <c r="Q8" i="2"/>
  <c r="J10" i="2"/>
  <c r="Y20" i="2"/>
  <c r="G20" i="2"/>
  <c r="Y21" i="2"/>
  <c r="G21" i="2"/>
  <c r="Y22" i="2"/>
  <c r="G22" i="2"/>
  <c r="Y23" i="2"/>
  <c r="G23" i="2"/>
  <c r="J8" i="2"/>
  <c r="Z24" i="2"/>
  <c r="H4" i="2"/>
  <c r="J5" i="2"/>
  <c r="Z5" i="2"/>
  <c r="H6" i="2"/>
  <c r="Z6" i="2"/>
  <c r="J7" i="2"/>
  <c r="Z7" i="2"/>
  <c r="H8" i="2"/>
  <c r="J9" i="2"/>
  <c r="Z9" i="2"/>
  <c r="H10" i="2"/>
  <c r="J11" i="2"/>
  <c r="Z11" i="2"/>
  <c r="H12" i="2"/>
  <c r="J13" i="2"/>
  <c r="Z13" i="2"/>
  <c r="H14" i="2"/>
  <c r="Z15" i="2"/>
  <c r="H16" i="2"/>
  <c r="Z17" i="2"/>
  <c r="AF130" i="1"/>
  <c r="AF103" i="1" s="1"/>
  <c r="BA130" i="1"/>
  <c r="AM129" i="1"/>
  <c r="AB131" i="1"/>
  <c r="AH103" i="1" l="1"/>
  <c r="AK151" i="1"/>
  <c r="AG104" i="1"/>
  <c r="AM130" i="1"/>
  <c r="S30" i="2"/>
  <c r="AB152" i="1"/>
  <c r="AB124" i="1"/>
  <c r="S28" i="2"/>
  <c r="S31" i="2"/>
  <c r="T28" i="2"/>
  <c r="I8" i="2"/>
  <c r="Q9" i="2"/>
  <c r="R15" i="2"/>
  <c r="J14" i="2"/>
  <c r="K150" i="1"/>
  <c r="S32" i="2" l="1"/>
  <c r="U32" i="2" s="1"/>
  <c r="U28" i="2"/>
  <c r="AG152" i="1"/>
  <c r="AG155" i="1" s="1"/>
  <c r="Q10" i="2"/>
  <c r="I9" i="2"/>
  <c r="R16" i="2"/>
  <c r="J15" i="2"/>
  <c r="R17" i="2" l="1"/>
  <c r="J16" i="2"/>
  <c r="Q11" i="2"/>
  <c r="I10" i="2"/>
  <c r="I11" i="2" l="1"/>
  <c r="Q12" i="2"/>
  <c r="R18" i="2"/>
  <c r="J17" i="2"/>
  <c r="R19" i="2" l="1"/>
  <c r="J18" i="2"/>
  <c r="Q13" i="2"/>
  <c r="I12" i="2"/>
  <c r="Q14" i="2" l="1"/>
  <c r="I13" i="2"/>
  <c r="R20" i="2"/>
  <c r="J19" i="2"/>
  <c r="R21" i="2" l="1"/>
  <c r="J20" i="2"/>
  <c r="Q15" i="2"/>
  <c r="I14" i="2"/>
  <c r="Q16" i="2" l="1"/>
  <c r="I15" i="2"/>
  <c r="R22" i="2"/>
  <c r="J21" i="2"/>
  <c r="R23" i="2" l="1"/>
  <c r="J23" i="2" s="1"/>
  <c r="J22" i="2"/>
  <c r="Q17" i="2"/>
  <c r="I16" i="2"/>
  <c r="Q18" i="2" l="1"/>
  <c r="I17" i="2"/>
  <c r="Q19" i="2" l="1"/>
  <c r="I18" i="2"/>
  <c r="Q20" i="2" l="1"/>
  <c r="I19" i="2"/>
  <c r="Q21" i="2" l="1"/>
  <c r="I20" i="2"/>
  <c r="Q22" i="2" l="1"/>
  <c r="I21" i="2"/>
  <c r="Q23" i="2" l="1"/>
  <c r="I23" i="2" s="1"/>
  <c r="I22" i="2"/>
  <c r="J131" i="1" l="1"/>
  <c r="K131" i="1" s="1"/>
  <c r="T12" i="1"/>
  <c r="T13" i="1" s="1"/>
  <c r="V130" i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T14" i="1" l="1"/>
  <c r="T15" i="1" s="1"/>
  <c r="T16" i="1" s="1"/>
  <c r="T17" i="1" s="1"/>
  <c r="T18" i="1" s="1"/>
  <c r="T20" i="1" s="1"/>
  <c r="T21" i="1" s="1"/>
  <c r="T22" i="1" s="1"/>
  <c r="T23" i="1" s="1"/>
  <c r="T24" i="1" s="1"/>
  <c r="T25" i="1" s="1"/>
  <c r="V141" i="1"/>
  <c r="V142" i="1" s="1"/>
  <c r="V143" i="1" s="1"/>
  <c r="V144" i="1" s="1"/>
  <c r="V145" i="1" s="1"/>
  <c r="V146" i="1" s="1"/>
  <c r="V147" i="1" s="1"/>
  <c r="V148" i="1" s="1"/>
  <c r="V149" i="1" s="1"/>
  <c r="V150" i="1" s="1"/>
  <c r="U140" i="1"/>
  <c r="J130" i="1"/>
  <c r="J129" i="1"/>
  <c r="K129" i="1" s="1"/>
  <c r="D111" i="1"/>
  <c r="P112" i="1"/>
  <c r="P108" i="1"/>
  <c r="P113" i="1" s="1"/>
  <c r="D113" i="1"/>
  <c r="D112" i="1"/>
  <c r="D110" i="1"/>
  <c r="D109" i="1"/>
  <c r="D108" i="1"/>
  <c r="D107" i="1"/>
  <c r="D106" i="1"/>
  <c r="D105" i="1"/>
  <c r="D104" i="1"/>
  <c r="D103" i="1"/>
  <c r="D102" i="1"/>
  <c r="P11" i="1"/>
  <c r="O114" i="1"/>
  <c r="N114" i="1"/>
  <c r="M114" i="1"/>
  <c r="L114" i="1"/>
  <c r="K114" i="1"/>
  <c r="J114" i="1"/>
  <c r="I114" i="1"/>
  <c r="H114" i="1"/>
  <c r="P69" i="1"/>
  <c r="P68" i="1"/>
  <c r="P67" i="1"/>
  <c r="G114" i="1" s="1"/>
  <c r="S9" i="1"/>
  <c r="S10" i="1" s="1"/>
  <c r="U4" i="1"/>
  <c r="T4" i="1"/>
  <c r="E1" i="1" s="1"/>
  <c r="V3" i="1"/>
  <c r="V2" i="1"/>
  <c r="M71" i="1"/>
  <c r="L71" i="1"/>
  <c r="T27" i="1" l="1"/>
  <c r="T29" i="1" s="1"/>
  <c r="T30" i="1" s="1"/>
  <c r="T31" i="1" s="1"/>
  <c r="T32" i="1" s="1"/>
  <c r="T33" i="1" s="1"/>
  <c r="T34" i="1" s="1"/>
  <c r="T35" i="1" s="1"/>
  <c r="T36" i="1" s="1"/>
  <c r="T37" i="1" s="1"/>
  <c r="T26" i="1"/>
  <c r="T38" i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J122" i="1"/>
  <c r="L122" i="1"/>
  <c r="K130" i="1"/>
  <c r="P114" i="1"/>
  <c r="M122" i="1"/>
  <c r="I117" i="1"/>
  <c r="J116" i="1"/>
  <c r="G117" i="1"/>
  <c r="M115" i="1"/>
  <c r="K117" i="1"/>
  <c r="H117" i="1"/>
  <c r="I116" i="1"/>
  <c r="J115" i="1"/>
  <c r="L115" i="1"/>
  <c r="K116" i="1"/>
  <c r="L117" i="1"/>
  <c r="H115" i="1"/>
  <c r="H116" i="1"/>
  <c r="M116" i="1"/>
  <c r="J117" i="1"/>
  <c r="I115" i="1"/>
  <c r="G115" i="1"/>
  <c r="G116" i="1"/>
  <c r="V4" i="1"/>
  <c r="N122" i="1" l="1"/>
  <c r="K122" i="1"/>
  <c r="I122" i="1"/>
  <c r="H122" i="1"/>
  <c r="G122" i="1"/>
  <c r="G119" i="1"/>
  <c r="J123" i="1" s="1"/>
  <c r="X150" i="1"/>
  <c r="U150" i="1"/>
  <c r="X149" i="1"/>
  <c r="U149" i="1"/>
  <c r="X148" i="1"/>
  <c r="U148" i="1"/>
  <c r="X147" i="1"/>
  <c r="U147" i="1"/>
  <c r="X146" i="1"/>
  <c r="U146" i="1"/>
  <c r="X145" i="1"/>
  <c r="U145" i="1"/>
  <c r="X144" i="1"/>
  <c r="U144" i="1"/>
  <c r="X143" i="1"/>
  <c r="U143" i="1"/>
  <c r="X142" i="1"/>
  <c r="U142" i="1"/>
  <c r="X141" i="1"/>
  <c r="U141" i="1"/>
  <c r="X140" i="1"/>
  <c r="X139" i="1"/>
  <c r="U139" i="1"/>
  <c r="X138" i="1"/>
  <c r="U138" i="1"/>
  <c r="X137" i="1"/>
  <c r="U137" i="1"/>
  <c r="X136" i="1"/>
  <c r="U136" i="1"/>
  <c r="X135" i="1"/>
  <c r="U135" i="1"/>
  <c r="X134" i="1"/>
  <c r="U134" i="1"/>
  <c r="X133" i="1"/>
  <c r="U133" i="1"/>
  <c r="X132" i="1"/>
  <c r="U132" i="1"/>
  <c r="AH131" i="1"/>
  <c r="AF131" i="1"/>
  <c r="AF108" i="1" s="1"/>
  <c r="AH108" i="1" s="1"/>
  <c r="AE131" i="1"/>
  <c r="AC131" i="1"/>
  <c r="X131" i="1"/>
  <c r="U131" i="1"/>
  <c r="AH130" i="1"/>
  <c r="AD130" i="1"/>
  <c r="AB130" i="1"/>
  <c r="AC130" i="1" s="1"/>
  <c r="X130" i="1"/>
  <c r="AD128" i="1"/>
  <c r="X128" i="1"/>
  <c r="Y129" i="1" s="1"/>
  <c r="U128" i="1"/>
  <c r="N71" i="1"/>
  <c r="K71" i="1"/>
  <c r="J71" i="1"/>
  <c r="I71" i="1"/>
  <c r="H71" i="1"/>
  <c r="AM131" i="1" l="1"/>
  <c r="AA124" i="1" s="1"/>
  <c r="AJ129" i="1"/>
  <c r="AI129" i="1"/>
  <c r="AE130" i="1"/>
  <c r="J150" i="1"/>
  <c r="AL130" i="1"/>
  <c r="Y133" i="1"/>
  <c r="Y146" i="1"/>
  <c r="Y147" i="1"/>
  <c r="Y137" i="1"/>
  <c r="Y142" i="1"/>
  <c r="Y130" i="1"/>
  <c r="Z130" i="1" s="1"/>
  <c r="AI130" i="1" s="1"/>
  <c r="Y132" i="1"/>
  <c r="Y136" i="1"/>
  <c r="Y140" i="1"/>
  <c r="Y141" i="1"/>
  <c r="Y145" i="1"/>
  <c r="Y150" i="1"/>
  <c r="Y131" i="1"/>
  <c r="AJ131" i="1" s="1"/>
  <c r="Y135" i="1"/>
  <c r="Y139" i="1"/>
  <c r="Y144" i="1"/>
  <c r="Y149" i="1"/>
  <c r="Y134" i="1"/>
  <c r="Y138" i="1"/>
  <c r="Y143" i="1"/>
  <c r="Y148" i="1"/>
  <c r="P150" i="1"/>
  <c r="P129" i="1"/>
  <c r="P130" i="1"/>
  <c r="L123" i="1"/>
  <c r="L124" i="1" s="1"/>
  <c r="M123" i="1"/>
  <c r="M124" i="1" s="1"/>
  <c r="M120" i="1"/>
  <c r="L120" i="1"/>
  <c r="AL131" i="1"/>
  <c r="J120" i="1"/>
  <c r="I120" i="1"/>
  <c r="H120" i="1"/>
  <c r="G120" i="1"/>
  <c r="AJ130" i="1" l="1"/>
  <c r="Z141" i="1"/>
  <c r="N130" i="1"/>
  <c r="N150" i="1"/>
  <c r="N129" i="1"/>
  <c r="N131" i="1"/>
  <c r="Z131" i="1"/>
  <c r="AI131" i="1" s="1"/>
  <c r="Z134" i="1"/>
  <c r="Z133" i="1"/>
  <c r="Z148" i="1"/>
  <c r="Z132" i="1"/>
  <c r="Z150" i="1"/>
  <c r="Z136" i="1"/>
  <c r="Z144" i="1"/>
  <c r="Z143" i="1"/>
  <c r="Z137" i="1"/>
  <c r="Z135" i="1"/>
  <c r="Z146" i="1"/>
  <c r="Z145" i="1"/>
  <c r="Z138" i="1"/>
  <c r="Z149" i="1"/>
  <c r="Z147" i="1"/>
  <c r="Z140" i="1"/>
  <c r="Z139" i="1"/>
  <c r="Q130" i="1"/>
  <c r="Z142" i="1"/>
  <c r="P131" i="1"/>
  <c r="Q131" i="1" s="1"/>
  <c r="K120" i="1"/>
  <c r="N120" i="1"/>
  <c r="J124" i="1"/>
  <c r="G123" i="1"/>
  <c r="G124" i="1" s="1"/>
  <c r="K123" i="1"/>
  <c r="K124" i="1" s="1"/>
  <c r="H123" i="1"/>
  <c r="H124" i="1" s="1"/>
  <c r="N123" i="1"/>
  <c r="N124" i="1" s="1"/>
  <c r="I123" i="1"/>
  <c r="I124" i="1" s="1"/>
  <c r="O131" i="1" l="1"/>
  <c r="O130" i="1"/>
  <c r="AP129" i="1" l="1"/>
  <c r="AQ129" i="1" s="1"/>
  <c r="AP131" i="1"/>
  <c r="AP130" i="1"/>
  <c r="AP128" i="1"/>
  <c r="AK15" i="2" l="1"/>
  <c r="AK9" i="2"/>
  <c r="L4" i="2"/>
  <c r="L5" i="2"/>
  <c r="AQ131" i="1"/>
  <c r="AQ130" i="1"/>
  <c r="J132" i="1" l="1"/>
  <c r="N132" i="1" l="1"/>
  <c r="O132" i="1" s="1"/>
  <c r="J133" i="1" l="1"/>
  <c r="N133" i="1" s="1"/>
  <c r="O133" i="1" s="1"/>
  <c r="K132" i="1" l="1"/>
  <c r="P132" i="1" l="1"/>
  <c r="Q132" i="1" s="1"/>
  <c r="BA132" i="1"/>
  <c r="AF132" i="1"/>
  <c r="AJ132" i="1"/>
  <c r="AF119" i="1" l="1"/>
  <c r="AH119" i="1" s="1"/>
  <c r="AM132" i="1"/>
  <c r="AI132" i="1"/>
  <c r="K133" i="1" l="1"/>
  <c r="P133" i="1" l="1"/>
  <c r="Q133" i="1" s="1"/>
  <c r="J134" i="1" l="1"/>
  <c r="N134" i="1" s="1"/>
  <c r="O134" i="1" s="1"/>
  <c r="K134" i="1"/>
  <c r="P134" i="1" l="1"/>
  <c r="Q134" i="1" s="1"/>
  <c r="J135" i="1" l="1"/>
  <c r="N135" i="1" s="1"/>
  <c r="O135" i="1" s="1"/>
  <c r="K135" i="1"/>
  <c r="P135" i="1" l="1"/>
  <c r="Q135" i="1" s="1"/>
  <c r="J136" i="1" l="1"/>
  <c r="N136" i="1" s="1"/>
  <c r="O136" i="1" s="1"/>
  <c r="K136" i="1"/>
  <c r="P136" i="1" l="1"/>
  <c r="Q136" i="1" s="1"/>
  <c r="J137" i="1" l="1"/>
  <c r="N137" i="1" s="1"/>
  <c r="O137" i="1" s="1"/>
  <c r="K137" i="1"/>
  <c r="P137" i="1" l="1"/>
  <c r="Q137" i="1" s="1"/>
  <c r="J138" i="1" l="1"/>
  <c r="N138" i="1" s="1"/>
  <c r="O138" i="1" s="1"/>
  <c r="K138" i="1"/>
  <c r="P138" i="1" l="1"/>
  <c r="Q138" i="1" s="1"/>
  <c r="J139" i="1" l="1"/>
  <c r="N139" i="1" s="1"/>
  <c r="O139" i="1" s="1"/>
  <c r="K139" i="1"/>
  <c r="P139" i="1" l="1"/>
  <c r="Q139" i="1" s="1"/>
  <c r="J140" i="1" l="1"/>
  <c r="N140" i="1" s="1"/>
  <c r="O140" i="1" s="1"/>
  <c r="K140" i="1"/>
  <c r="P140" i="1" l="1"/>
  <c r="Q140" i="1" s="1"/>
  <c r="J141" i="1" l="1"/>
  <c r="N141" i="1" s="1"/>
  <c r="O141" i="1" s="1"/>
  <c r="K141" i="1"/>
  <c r="P141" i="1" l="1"/>
  <c r="Q141" i="1" s="1"/>
  <c r="J142" i="1" l="1"/>
  <c r="N142" i="1" s="1"/>
  <c r="O142" i="1" s="1"/>
  <c r="K142" i="1"/>
  <c r="P142" i="1" l="1"/>
  <c r="Q142" i="1" s="1"/>
  <c r="J143" i="1" l="1"/>
  <c r="N143" i="1" s="1"/>
  <c r="O143" i="1" s="1"/>
  <c r="K143" i="1"/>
  <c r="P143" i="1" l="1"/>
  <c r="Q143" i="1" s="1"/>
  <c r="J144" i="1" l="1"/>
  <c r="N144" i="1" s="1"/>
  <c r="O144" i="1" s="1"/>
  <c r="K144" i="1"/>
  <c r="P144" i="1" l="1"/>
  <c r="Q144" i="1" s="1"/>
  <c r="J145" i="1" l="1"/>
  <c r="N145" i="1" s="1"/>
  <c r="O145" i="1" s="1"/>
  <c r="K145" i="1"/>
  <c r="P145" i="1" l="1"/>
  <c r="Q145" i="1" s="1"/>
  <c r="J146" i="1" l="1"/>
  <c r="N146" i="1" s="1"/>
  <c r="O146" i="1" s="1"/>
  <c r="K146" i="1"/>
  <c r="P146" i="1" l="1"/>
  <c r="Q146" i="1" s="1"/>
  <c r="J147" i="1" l="1"/>
  <c r="N147" i="1" s="1"/>
  <c r="O147" i="1" s="1"/>
  <c r="K147" i="1"/>
  <c r="P147" i="1" l="1"/>
  <c r="Q147" i="1" s="1"/>
  <c r="J148" i="1" l="1"/>
  <c r="N148" i="1" s="1"/>
  <c r="O148" i="1" s="1"/>
  <c r="K148" i="1"/>
  <c r="P148" i="1" l="1"/>
  <c r="Q148" i="1" s="1"/>
  <c r="J149" i="1" l="1"/>
  <c r="N149" i="1" s="1"/>
  <c r="O150" i="1" s="1"/>
  <c r="K149" i="1"/>
  <c r="O149" i="1" l="1"/>
  <c r="P149" i="1"/>
  <c r="Q149" i="1" l="1"/>
  <c r="Q150" i="1"/>
  <c r="AP132" i="1" l="1"/>
  <c r="AH132" i="1"/>
  <c r="AQ132" i="1" l="1"/>
  <c r="L6" i="2"/>
  <c r="AL132" i="1"/>
  <c r="I133" i="1" l="1"/>
  <c r="AE133" i="1"/>
  <c r="AJ133" i="1"/>
  <c r="AC133" i="1"/>
  <c r="BA133" i="1"/>
  <c r="AF133" i="1"/>
  <c r="AF118" i="1" s="1"/>
  <c r="AH118" i="1" s="1"/>
  <c r="L7" i="2"/>
  <c r="AH133" i="1"/>
  <c r="AM133" i="1" l="1"/>
  <c r="AI133" i="1"/>
  <c r="AP133" i="1"/>
  <c r="AL133" i="1"/>
  <c r="L8" i="2"/>
  <c r="I134" i="1" l="1"/>
  <c r="AJ134" i="1"/>
  <c r="AC134" i="1"/>
  <c r="AE134" i="1"/>
  <c r="BA134" i="1"/>
  <c r="AF134" i="1"/>
  <c r="AH134" i="1"/>
  <c r="L9" i="2"/>
  <c r="AP134" i="1"/>
  <c r="AQ134" i="1" s="1"/>
  <c r="AQ133" i="1"/>
  <c r="AM134" i="1" l="1"/>
  <c r="AF116" i="1"/>
  <c r="AH116" i="1" s="1"/>
  <c r="AI134" i="1"/>
  <c r="AL134" i="1"/>
  <c r="AP135" i="1"/>
  <c r="L10" i="2"/>
  <c r="I135" i="1" l="1"/>
  <c r="AJ135" i="1"/>
  <c r="AC135" i="1"/>
  <c r="BA135" i="1"/>
  <c r="AE135" i="1"/>
  <c r="AF135" i="1"/>
  <c r="AF112" i="1" s="1"/>
  <c r="AH112" i="1" s="1"/>
  <c r="AH135" i="1"/>
  <c r="AP136" i="1"/>
  <c r="L11" i="2"/>
  <c r="AQ135" i="1"/>
  <c r="AM135" i="1" l="1"/>
  <c r="AI135" i="1"/>
  <c r="AL135" i="1"/>
  <c r="L12" i="2"/>
  <c r="AP137" i="1"/>
  <c r="AQ137" i="1" s="1"/>
  <c r="AQ136" i="1"/>
  <c r="I136" i="1" l="1"/>
  <c r="AE136" i="1"/>
  <c r="BA136" i="1"/>
  <c r="AC136" i="1"/>
  <c r="AJ136" i="1"/>
  <c r="AF136" i="1"/>
  <c r="AF120" i="1" s="1"/>
  <c r="AH120" i="1" s="1"/>
  <c r="AH136" i="1"/>
  <c r="AP138" i="1"/>
  <c r="L13" i="2"/>
  <c r="AM136" i="1" l="1"/>
  <c r="AI136" i="1"/>
  <c r="AL136" i="1"/>
  <c r="L14" i="2"/>
  <c r="AP139" i="1"/>
  <c r="AQ138" i="1"/>
  <c r="I137" i="1" l="1"/>
  <c r="AJ137" i="1"/>
  <c r="AF137" i="1"/>
  <c r="AF115" i="1" s="1"/>
  <c r="AH115" i="1" s="1"/>
  <c r="BA137" i="1"/>
  <c r="AC137" i="1"/>
  <c r="AE137" i="1"/>
  <c r="AH137" i="1"/>
  <c r="L15" i="2"/>
  <c r="AQ139" i="1"/>
  <c r="AP140" i="1"/>
  <c r="AQ140" i="1" s="1"/>
  <c r="AM137" i="1" l="1"/>
  <c r="AI137" i="1"/>
  <c r="AL137" i="1"/>
  <c r="L16" i="2"/>
  <c r="AP141" i="1"/>
  <c r="AQ141" i="1" s="1"/>
  <c r="I138" i="1" l="1"/>
  <c r="AJ138" i="1"/>
  <c r="AF138" i="1"/>
  <c r="AF110" i="1" s="1"/>
  <c r="AH110" i="1" s="1"/>
  <c r="AE138" i="1"/>
  <c r="AC138" i="1"/>
  <c r="BA138" i="1"/>
  <c r="AH138" i="1"/>
  <c r="L17" i="2"/>
  <c r="AP142" i="1"/>
  <c r="AQ142" i="1" s="1"/>
  <c r="AM138" i="1" l="1"/>
  <c r="AI138" i="1"/>
  <c r="AL138" i="1"/>
  <c r="AP143" i="1"/>
  <c r="AQ143" i="1" s="1"/>
  <c r="L18" i="2"/>
  <c r="I139" i="1" l="1"/>
  <c r="AF139" i="1"/>
  <c r="AF111" i="1" s="1"/>
  <c r="AH111" i="1" s="1"/>
  <c r="AE139" i="1"/>
  <c r="BA139" i="1"/>
  <c r="AC139" i="1"/>
  <c r="AJ139" i="1"/>
  <c r="AH139" i="1"/>
  <c r="AP144" i="1"/>
  <c r="AQ144" i="1" s="1"/>
  <c r="L19" i="2"/>
  <c r="AM139" i="1" l="1"/>
  <c r="AI139" i="1"/>
  <c r="AL139" i="1"/>
  <c r="AP145" i="1"/>
  <c r="AQ145" i="1" s="1"/>
  <c r="L20" i="2"/>
  <c r="I140" i="1" l="1"/>
  <c r="AJ140" i="1"/>
  <c r="AC140" i="1"/>
  <c r="AF140" i="1"/>
  <c r="AF114" i="1" s="1"/>
  <c r="AH114" i="1" s="1"/>
  <c r="BA140" i="1"/>
  <c r="AE140" i="1"/>
  <c r="AH140" i="1"/>
  <c r="AP146" i="1"/>
  <c r="AQ146" i="1" s="1"/>
  <c r="L21" i="2"/>
  <c r="AM140" i="1" l="1"/>
  <c r="AI140" i="1"/>
  <c r="AL140" i="1"/>
  <c r="AP147" i="1"/>
  <c r="AQ147" i="1" s="1"/>
  <c r="L22" i="2"/>
  <c r="I141" i="1" l="1"/>
  <c r="BA141" i="1"/>
  <c r="AC141" i="1"/>
  <c r="AJ141" i="1"/>
  <c r="AF141" i="1"/>
  <c r="AF121" i="1" s="1"/>
  <c r="AH121" i="1" s="1"/>
  <c r="BD141" i="1"/>
  <c r="AE141" i="1"/>
  <c r="AH141" i="1"/>
  <c r="AP148" i="1"/>
  <c r="AQ148" i="1" s="1"/>
  <c r="L23" i="2"/>
  <c r="AM141" i="1" l="1"/>
  <c r="AI141" i="1"/>
  <c r="AL141" i="1"/>
  <c r="AP150" i="1"/>
  <c r="AP149" i="1"/>
  <c r="AQ149" i="1" s="1"/>
  <c r="I142" i="1" l="1"/>
  <c r="AE142" i="1"/>
  <c r="AJ142" i="1"/>
  <c r="BA142" i="1"/>
  <c r="AF142" i="1"/>
  <c r="AF117" i="1" s="1"/>
  <c r="AH117" i="1" s="1"/>
  <c r="AC142" i="1"/>
  <c r="AH142" i="1"/>
  <c r="AQ150" i="1"/>
  <c r="AP151" i="1"/>
  <c r="AM142" i="1" l="1"/>
  <c r="AI142" i="1"/>
  <c r="AL142" i="1"/>
  <c r="I143" i="1" l="1"/>
  <c r="AE143" i="1"/>
  <c r="BA143" i="1"/>
  <c r="AF143" i="1"/>
  <c r="AF123" i="1" s="1"/>
  <c r="AH123" i="1" s="1"/>
  <c r="AJ143" i="1"/>
  <c r="AC143" i="1"/>
  <c r="AH143" i="1"/>
  <c r="AM143" i="1" l="1"/>
  <c r="AI143" i="1"/>
  <c r="AL143" i="1"/>
  <c r="I144" i="1" l="1"/>
  <c r="BA144" i="1"/>
  <c r="AF144" i="1"/>
  <c r="AF122" i="1" s="1"/>
  <c r="AH122" i="1" s="1"/>
  <c r="AJ144" i="1"/>
  <c r="AC144" i="1"/>
  <c r="AE144" i="1"/>
  <c r="AH144" i="1"/>
  <c r="AM144" i="1" l="1"/>
  <c r="AI144" i="1"/>
  <c r="AL144" i="1"/>
  <c r="I145" i="1" l="1"/>
  <c r="AJ145" i="1"/>
  <c r="BA145" i="1"/>
  <c r="AC145" i="1"/>
  <c r="AE145" i="1"/>
  <c r="AF145" i="1"/>
  <c r="AF113" i="1" s="1"/>
  <c r="AH113" i="1" s="1"/>
  <c r="AH145" i="1"/>
  <c r="AM145" i="1" l="1"/>
  <c r="AI145" i="1"/>
  <c r="AL145" i="1"/>
  <c r="I146" i="1" l="1"/>
  <c r="AJ146" i="1"/>
  <c r="AE146" i="1"/>
  <c r="AF146" i="1"/>
  <c r="AF107" i="1" s="1"/>
  <c r="AH107" i="1" s="1"/>
  <c r="BA146" i="1"/>
  <c r="AC146" i="1"/>
  <c r="AH146" i="1"/>
  <c r="AM146" i="1" l="1"/>
  <c r="AI146" i="1"/>
  <c r="AL146" i="1"/>
  <c r="I147" i="1" l="1"/>
  <c r="BA147" i="1"/>
  <c r="AJ147" i="1"/>
  <c r="AF147" i="1"/>
  <c r="AF109" i="1" s="1"/>
  <c r="AH109" i="1" s="1"/>
  <c r="AC147" i="1"/>
  <c r="AE147" i="1"/>
  <c r="AH147" i="1"/>
  <c r="AM147" i="1" l="1"/>
  <c r="AI147" i="1"/>
  <c r="AL147" i="1"/>
  <c r="I148" i="1" l="1"/>
  <c r="AE148" i="1"/>
  <c r="AJ148" i="1"/>
  <c r="AF148" i="1"/>
  <c r="BA148" i="1"/>
  <c r="AC148" i="1"/>
  <c r="AH148" i="1"/>
  <c r="AF105" i="1" l="1"/>
  <c r="AH105" i="1" s="1"/>
  <c r="AI148" i="1"/>
  <c r="AL148" i="1"/>
  <c r="I149" i="1" l="1"/>
  <c r="AJ149" i="1"/>
  <c r="AC149" i="1"/>
  <c r="AE149" i="1"/>
  <c r="AF149" i="1"/>
  <c r="AF106" i="1" s="1"/>
  <c r="AH106" i="1" s="1"/>
  <c r="BA149" i="1"/>
  <c r="AH149" i="1"/>
  <c r="AI149" i="1" l="1"/>
  <c r="AL149" i="1"/>
  <c r="AN149" i="1" l="1"/>
  <c r="AC150" i="1"/>
  <c r="I150" i="1"/>
  <c r="AN128" i="1"/>
  <c r="AN131" i="1"/>
  <c r="AE150" i="1"/>
  <c r="AN129" i="1"/>
  <c r="AR128" i="1"/>
  <c r="AN130" i="1"/>
  <c r="BA150" i="1"/>
  <c r="AJ150" i="1"/>
  <c r="AH150" i="1"/>
  <c r="AN132" i="1"/>
  <c r="AN133" i="1"/>
  <c r="AF150" i="1"/>
  <c r="AF104" i="1" s="1"/>
  <c r="AH104" i="1" s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F151" i="1" l="1"/>
  <c r="AL151" i="1" s="1"/>
  <c r="L129" i="1"/>
  <c r="L130" i="1"/>
  <c r="L15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AR151" i="1"/>
  <c r="AS128" i="1"/>
  <c r="AS129" i="1" s="1"/>
  <c r="AS130" i="1" s="1"/>
  <c r="AS131" i="1" s="1"/>
  <c r="AS132" i="1" s="1"/>
  <c r="AS133" i="1" s="1"/>
  <c r="AS134" i="1" s="1"/>
  <c r="AS135" i="1" s="1"/>
  <c r="AS136" i="1" s="1"/>
  <c r="AS137" i="1" s="1"/>
  <c r="AS138" i="1" s="1"/>
  <c r="AS139" i="1" s="1"/>
  <c r="AS140" i="1" s="1"/>
  <c r="AS141" i="1" s="1"/>
  <c r="AS142" i="1" s="1"/>
  <c r="AS143" i="1" s="1"/>
  <c r="AS144" i="1" s="1"/>
  <c r="AS145" i="1" s="1"/>
  <c r="AS146" i="1" s="1"/>
  <c r="AS147" i="1" s="1"/>
  <c r="AS148" i="1" s="1"/>
  <c r="AS149" i="1" s="1"/>
  <c r="AS150" i="1" s="1"/>
  <c r="AI150" i="1"/>
  <c r="AN150" i="1"/>
  <c r="AN151" i="1" s="1"/>
  <c r="AL150" i="1"/>
  <c r="AJ9" i="2"/>
  <c r="AK10" i="2" s="1"/>
  <c r="K5" i="2"/>
  <c r="AJ15" i="2"/>
  <c r="AK16" i="2" s="1"/>
  <c r="K4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AO128" i="1"/>
  <c r="AO129" i="1" s="1"/>
  <c r="AO130" i="1" s="1"/>
  <c r="AO131" i="1" s="1"/>
  <c r="AO132" i="1" s="1"/>
  <c r="AO133" i="1" s="1"/>
  <c r="AO134" i="1" s="1"/>
  <c r="AO135" i="1" s="1"/>
  <c r="AO136" i="1" s="1"/>
  <c r="AO137" i="1" s="1"/>
  <c r="AO138" i="1" s="1"/>
  <c r="AO139" i="1" s="1"/>
  <c r="AO140" i="1" s="1"/>
  <c r="AO141" i="1" s="1"/>
  <c r="AO142" i="1" s="1"/>
  <c r="AO143" i="1" s="1"/>
  <c r="AO144" i="1" s="1"/>
  <c r="AO145" i="1" s="1"/>
  <c r="AO146" i="1" s="1"/>
  <c r="AO147" i="1" s="1"/>
  <c r="AO148" i="1" s="1"/>
  <c r="AO149" i="1" s="1"/>
  <c r="AO150" i="1" s="1"/>
  <c r="AT128" i="1"/>
  <c r="M147" i="1" l="1"/>
  <c r="M143" i="1"/>
  <c r="M139" i="1"/>
  <c r="M131" i="1"/>
  <c r="M135" i="1"/>
  <c r="M149" i="1"/>
  <c r="M145" i="1"/>
  <c r="M133" i="1"/>
  <c r="M146" i="1"/>
  <c r="M134" i="1"/>
  <c r="M130" i="1"/>
  <c r="M150" i="1"/>
  <c r="M142" i="1"/>
  <c r="M141" i="1"/>
  <c r="M138" i="1"/>
  <c r="M137" i="1"/>
  <c r="M148" i="1"/>
  <c r="M144" i="1"/>
  <c r="M140" i="1"/>
  <c r="M136" i="1"/>
  <c r="M132" i="1"/>
  <c r="AU144" i="1"/>
  <c r="AV144" i="1" s="1"/>
  <c r="AU148" i="1"/>
  <c r="AV148" i="1" s="1"/>
  <c r="AU131" i="1"/>
  <c r="AV131" i="1" s="1"/>
  <c r="AU138" i="1"/>
  <c r="AV138" i="1" s="1"/>
  <c r="AU145" i="1"/>
  <c r="AV145" i="1" s="1"/>
  <c r="AU147" i="1"/>
  <c r="AV147" i="1" s="1"/>
  <c r="AU133" i="1"/>
  <c r="AV133" i="1" s="1"/>
  <c r="AU135" i="1"/>
  <c r="AV135" i="1" s="1"/>
  <c r="AU140" i="1"/>
  <c r="AV140" i="1" s="1"/>
  <c r="AU143" i="1"/>
  <c r="AV143" i="1" s="1"/>
  <c r="AU141" i="1"/>
  <c r="AV141" i="1" s="1"/>
  <c r="AU134" i="1"/>
  <c r="AV134" i="1" s="1"/>
  <c r="AU137" i="1"/>
  <c r="AV137" i="1" s="1"/>
  <c r="AU139" i="1"/>
  <c r="AV139" i="1" s="1"/>
  <c r="AU149" i="1"/>
  <c r="AV149" i="1" s="1"/>
  <c r="AU142" i="1"/>
  <c r="AV142" i="1" s="1"/>
  <c r="AT151" i="1"/>
  <c r="AU136" i="1"/>
  <c r="AV136" i="1" s="1"/>
  <c r="AU130" i="1"/>
  <c r="AU132" i="1"/>
  <c r="AV132" i="1" s="1"/>
  <c r="AU150" i="1"/>
  <c r="AV150" i="1" s="1"/>
  <c r="AV130" i="1" l="1"/>
  <c r="AV14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Gernot</author>
  </authors>
  <commentList>
    <comment ref="J123" authorId="0" shapeId="0" xr:uid="{3B8C4B53-5981-4BC5-AE20-3C30B957CCDD}">
      <text>
        <r>
          <rPr>
            <b/>
            <sz val="9"/>
            <color indexed="81"/>
            <rFont val="Segoe UI"/>
            <family val="2"/>
          </rPr>
          <t>Gernot:</t>
        </r>
        <r>
          <rPr>
            <sz val="9"/>
            <color indexed="81"/>
            <rFont val="Segoe UI"/>
            <family val="2"/>
          </rPr>
          <t xml:space="preserve">
ohne die PDFs!</t>
        </r>
      </text>
    </comment>
    <comment ref="AM133" authorId="0" shapeId="0" xr:uid="{0E1B5588-89E2-4890-A599-BC79AA876F23}">
      <text>
        <r>
          <rPr>
            <b/>
            <sz val="9"/>
            <color indexed="81"/>
            <rFont val="Segoe UI"/>
            <family val="2"/>
          </rPr>
          <t>Gernot:</t>
        </r>
        <r>
          <rPr>
            <sz val="9"/>
            <color indexed="81"/>
            <rFont val="Segoe UI"/>
            <family val="2"/>
          </rPr>
          <t xml:space="preserve">
ohne Tag 0!</t>
        </r>
      </text>
    </comment>
    <comment ref="AQ146" authorId="0" shapeId="0" xr:uid="{36328D59-F7A0-4246-B53E-76B7CFCACFD6}">
      <text>
        <r>
          <rPr>
            <b/>
            <sz val="9"/>
            <color indexed="81"/>
            <rFont val="Segoe UI"/>
            <family val="2"/>
          </rPr>
          <t>Gernot:</t>
        </r>
        <r>
          <rPr>
            <sz val="9"/>
            <color indexed="81"/>
            <rFont val="Segoe UI"/>
            <family val="2"/>
          </rPr>
          <t xml:space="preserve">
ohne Tag 1!</t>
        </r>
      </text>
    </comment>
    <comment ref="AU146" authorId="0" shapeId="0" xr:uid="{146B68AE-C9F4-46E9-80BD-9B0F0C443FC4}">
      <text>
        <r>
          <rPr>
            <b/>
            <sz val="9"/>
            <color indexed="81"/>
            <rFont val="Segoe UI"/>
            <family val="2"/>
          </rPr>
          <t>Gernot:</t>
        </r>
        <r>
          <rPr>
            <sz val="9"/>
            <color indexed="81"/>
            <rFont val="Segoe UI"/>
            <family val="2"/>
          </rPr>
          <t xml:space="preserve">
ohne Tag 1!</t>
        </r>
      </text>
    </comment>
    <comment ref="AZ146" authorId="0" shapeId="0" xr:uid="{FE4D53D6-62EA-46C7-B3CE-6C8A0A0B53B1}">
      <text>
        <r>
          <rPr>
            <b/>
            <sz val="9"/>
            <color indexed="81"/>
            <rFont val="Segoe UI"/>
            <family val="2"/>
          </rPr>
          <t>Gernot:</t>
        </r>
        <r>
          <rPr>
            <sz val="9"/>
            <color indexed="81"/>
            <rFont val="Segoe UI"/>
            <family val="2"/>
          </rPr>
          <t xml:space="preserve">
ohne Tag 1!</t>
        </r>
      </text>
    </comment>
    <comment ref="BE146" authorId="0" shapeId="0" xr:uid="{E849D5B3-D300-4F38-A597-964273642818}">
      <text>
        <r>
          <rPr>
            <b/>
            <sz val="9"/>
            <color indexed="81"/>
            <rFont val="Segoe UI"/>
            <family val="2"/>
          </rPr>
          <t>Gernot:</t>
        </r>
        <r>
          <rPr>
            <sz val="9"/>
            <color indexed="81"/>
            <rFont val="Segoe UI"/>
            <family val="2"/>
          </rPr>
          <t xml:space="preserve">
ohne Tag 1!</t>
        </r>
      </text>
    </comment>
    <comment ref="BF146" authorId="0" shapeId="0" xr:uid="{C8D7B4D6-2B9D-4DE0-9780-802786CC865D}">
      <text>
        <r>
          <rPr>
            <b/>
            <sz val="9"/>
            <color indexed="81"/>
            <rFont val="Segoe UI"/>
            <family val="2"/>
          </rPr>
          <t>Gernot:</t>
        </r>
        <r>
          <rPr>
            <sz val="9"/>
            <color indexed="81"/>
            <rFont val="Segoe UI"/>
            <family val="2"/>
          </rPr>
          <t xml:space="preserve">
ohne Tag 1!</t>
        </r>
      </text>
    </comment>
  </commentList>
</comments>
</file>

<file path=xl/sharedStrings.xml><?xml version="1.0" encoding="utf-8"?>
<sst xmlns="http://schemas.openxmlformats.org/spreadsheetml/2006/main" count="1136" uniqueCount="387">
  <si>
    <t>Die grün markierten Produkte hast du bei dem entsprechenden Paket inklusive.</t>
  </si>
  <si>
    <t>Bitte setze hier deine "x"</t>
  </si>
  <si>
    <t>↓</t>
  </si>
  <si>
    <t>Mein Wunschpaket enthält ("x" setzen)</t>
  </si>
  <si>
    <t>Format</t>
  </si>
  <si>
    <t>UVP-Preis
im F-Shop</t>
  </si>
  <si>
    <t>µ</t>
  </si>
  <si>
    <t>?</t>
  </si>
  <si>
    <t>-</t>
  </si>
  <si>
    <t>Schätzpreis, Preis nach CF ist unbekannt</t>
  </si>
  <si>
    <t>Deine Kosten</t>
  </si>
  <si>
    <t>/</t>
  </si>
  <si>
    <t>Deine Ersparnis</t>
  </si>
  <si>
    <t>Deine zusätzlichen Produkte</t>
  </si>
  <si>
    <t>x</t>
  </si>
  <si>
    <t>Ziel</t>
  </si>
  <si>
    <t>XXXX</t>
  </si>
  <si>
    <r>
      <t xml:space="preserve">Kein Paket (Kauf im F-Shop, nach dem CF)
</t>
    </r>
    <r>
      <rPr>
        <b/>
        <sz val="11"/>
        <color rgb="FFFF0000"/>
        <rFont val="Book Antiqua"/>
        <family val="1"/>
      </rPr>
      <t>Enthält keine PDFs!</t>
    </r>
  </si>
  <si>
    <r>
      <t xml:space="preserve">Das zahlst du insgesamt für </t>
    </r>
    <r>
      <rPr>
        <b/>
        <sz val="11"/>
        <color rgb="FF0070C0"/>
        <rFont val="Book Antiqua"/>
        <family val="1"/>
      </rPr>
      <t>die jeweilige Kombination</t>
    </r>
    <r>
      <rPr>
        <b/>
        <sz val="11"/>
        <color theme="1"/>
        <rFont val="Book Antiqua"/>
        <family val="1"/>
      </rPr>
      <t xml:space="preserve">, die </t>
    </r>
    <r>
      <rPr>
        <b/>
        <sz val="11"/>
        <color rgb="FFFF0000"/>
        <rFont val="Book Antiqua"/>
        <family val="1"/>
      </rPr>
      <t>dein Wunschpaket</t>
    </r>
    <r>
      <rPr>
        <b/>
        <sz val="11"/>
        <color theme="1"/>
        <rFont val="Book Antiqua"/>
        <family val="1"/>
      </rPr>
      <t xml:space="preserve"> inkl. der Zusatzprodukte mit abdeckt:</t>
    </r>
  </si>
  <si>
    <r>
      <t xml:space="preserve">Das kostet </t>
    </r>
    <r>
      <rPr>
        <b/>
        <i/>
        <sz val="11"/>
        <color rgb="FFFF0000"/>
        <rFont val="Book Antiqua"/>
        <family val="1"/>
      </rPr>
      <t>dein Wunschpaket</t>
    </r>
    <r>
      <rPr>
        <b/>
        <i/>
        <sz val="11"/>
        <color theme="1"/>
        <rFont val="Book Antiqua"/>
        <family val="1"/>
      </rPr>
      <t>(nach dem Crowdfunding) im F-Shop:</t>
    </r>
  </si>
  <si>
    <r>
      <t xml:space="preserve">Diesen Rabatt gewährt </t>
    </r>
    <r>
      <rPr>
        <b/>
        <i/>
        <sz val="10"/>
        <color rgb="FF0070C0"/>
        <rFont val="Book Antiqua"/>
        <family val="1"/>
      </rPr>
      <t>deine Kombination</t>
    </r>
    <r>
      <rPr>
        <b/>
        <i/>
        <sz val="10"/>
        <color theme="1"/>
        <rFont val="Book Antiqua"/>
        <family val="1"/>
      </rPr>
      <t xml:space="preserve"> somit gegenüber dem Einkauf </t>
    </r>
    <r>
      <rPr>
        <b/>
        <i/>
        <sz val="10"/>
        <color rgb="FFFF0000"/>
        <rFont val="Book Antiqua"/>
        <family val="1"/>
      </rPr>
      <t xml:space="preserve">deines Wunschpakets </t>
    </r>
    <r>
      <rPr>
        <b/>
        <i/>
        <sz val="10"/>
        <color theme="1"/>
        <rFont val="Book Antiqua"/>
        <family val="1"/>
      </rPr>
      <t>(nach dem Crowdfunding) im F-Shop:</t>
    </r>
  </si>
  <si>
    <r>
      <t xml:space="preserve">Die zusätzlichen Produkte, die du </t>
    </r>
    <r>
      <rPr>
        <b/>
        <i/>
        <sz val="10"/>
        <color rgb="FF0070C0"/>
        <rFont val="Book Antiqua"/>
        <family val="1"/>
      </rPr>
      <t>bei deiner Kombination</t>
    </r>
    <r>
      <rPr>
        <b/>
        <i/>
        <sz val="10"/>
        <color theme="1"/>
        <rFont val="Book Antiqua"/>
        <family val="1"/>
      </rPr>
      <t xml:space="preserve"> erhältst, die </t>
    </r>
    <r>
      <rPr>
        <b/>
        <i/>
        <sz val="10"/>
        <color rgb="FFFF0000"/>
        <rFont val="Book Antiqua"/>
        <family val="1"/>
      </rPr>
      <t>nicht in deinem Wunschpaket</t>
    </r>
    <r>
      <rPr>
        <b/>
        <i/>
        <sz val="10"/>
        <color theme="1"/>
        <rFont val="Book Antiqua"/>
        <family val="1"/>
      </rPr>
      <t xml:space="preserve"> sind, haben folgenden Wert:</t>
    </r>
  </si>
  <si>
    <r>
      <t xml:space="preserve">Diesen Gesamtrabatt gewährt </t>
    </r>
    <r>
      <rPr>
        <b/>
        <i/>
        <sz val="10"/>
        <color rgb="FF0070C0"/>
        <rFont val="Book Antiqua"/>
        <family val="1"/>
      </rPr>
      <t>deine Kombination</t>
    </r>
    <r>
      <rPr>
        <b/>
        <i/>
        <sz val="10"/>
        <color theme="1"/>
        <rFont val="Book Antiqua"/>
        <family val="1"/>
      </rPr>
      <t xml:space="preserve"> somit gegenüber dem Einkauf (nach dem Crowdfunding) im F-Shop:</t>
    </r>
  </si>
  <si>
    <t>20.01.2021, 16:00</t>
  </si>
  <si>
    <t>21.01.2021, 16:00</t>
  </si>
  <si>
    <t>22.01.2021, 16:00</t>
  </si>
  <si>
    <t>23.01.2021, 16:00</t>
  </si>
  <si>
    <t>24.01.2021, 16:00</t>
  </si>
  <si>
    <t>25.01.2021, 16:00</t>
  </si>
  <si>
    <t>26.01.2021, 16:00</t>
  </si>
  <si>
    <t>27.01.2021, 16:00</t>
  </si>
  <si>
    <t>28.01.2021, 16:00</t>
  </si>
  <si>
    <t>29.01.2021, 16:00</t>
  </si>
  <si>
    <t>30.01.2021, 16:00</t>
  </si>
  <si>
    <t>31.01.2021, 16:00</t>
  </si>
  <si>
    <t>01.02.2021, 16:00</t>
  </si>
  <si>
    <t>02.02.2021, 16:00</t>
  </si>
  <si>
    <t>03.02.2021, 16:00</t>
  </si>
  <si>
    <t>04.02.2021, 16:00</t>
  </si>
  <si>
    <t>05.02.2021, 16:00</t>
  </si>
  <si>
    <t>06.02.2021, 16:00</t>
  </si>
  <si>
    <t>07.02.2021, 16:00</t>
  </si>
  <si>
    <t>08.02.2021, 16:00</t>
  </si>
  <si>
    <t>09.02.2021, 16:00</t>
  </si>
  <si>
    <t>µ
µ</t>
  </si>
  <si>
    <t>µ
µ
µ</t>
  </si>
  <si>
    <t>https://hinterdemauge.blogspot.com/</t>
  </si>
  <si>
    <t>Preis als
Zusatz-produkt</t>
  </si>
  <si>
    <t>Flötenspiel (Abenteueranthologie für Havena)</t>
  </si>
  <si>
    <t>Fasar – Brüchiger Frieden (DSK-Erweiterungsband)</t>
  </si>
  <si>
    <t>Fasar – Brüchiger Frieden (DSK-Erweiterungsband; Zartcover-Variante)</t>
  </si>
  <si>
    <t>Hundstage (Abenteueranthologie für Fasar)</t>
  </si>
  <si>
    <t>Spuren im Sand (Heldenbrevier von Fasar)</t>
  </si>
  <si>
    <t>Spielkartenset Brüchiger Frieden</t>
  </si>
  <si>
    <t>Stoffkarte von Fasar</t>
  </si>
  <si>
    <t>Die rot markierten Produkte musst du bei dem entsprechenden Paket als Zusatzprodukt im CF hinzubuchen.</t>
  </si>
  <si>
    <r>
      <t xml:space="preserve">Das kostet </t>
    </r>
    <r>
      <rPr>
        <b/>
        <i/>
        <sz val="10"/>
        <color rgb="FF0070C0"/>
        <rFont val="Book Antiqua"/>
        <family val="1"/>
      </rPr>
      <t>deine Kombination</t>
    </r>
    <r>
      <rPr>
        <b/>
        <i/>
        <sz val="10"/>
        <rFont val="Book Antiqua"/>
        <family val="1"/>
      </rPr>
      <t xml:space="preserve"> (nach dem Crowdfunding) im </t>
    </r>
    <r>
      <rPr>
        <b/>
        <i/>
        <sz val="10"/>
        <color theme="1"/>
        <rFont val="Book Antiqua"/>
        <family val="1"/>
      </rPr>
      <t>F-Shop (voraussichtlich) insgesamt:</t>
    </r>
  </si>
  <si>
    <r>
      <t>Dein Haustier als offizielle Illustration</t>
    </r>
    <r>
      <rPr>
        <b/>
        <sz val="11"/>
        <color theme="1"/>
        <rFont val="Book Antiqua"/>
        <family val="1"/>
      </rPr>
      <t xml:space="preserve"> (exklusiv im Crowdfunding!)</t>
    </r>
  </si>
  <si>
    <t>Kein Paket</t>
  </si>
  <si>
    <t>Donnerstag</t>
  </si>
  <si>
    <t>Hochrechnung (könnte passen, oder auch nicht ;) )</t>
  </si>
  <si>
    <t>Datum</t>
  </si>
  <si>
    <t>Fennek</t>
  </si>
  <si>
    <t>Feenhund</t>
  </si>
  <si>
    <t>Mungo</t>
  </si>
  <si>
    <t>Rahjatänzer</t>
  </si>
  <si>
    <t>Sandkatze</t>
  </si>
  <si>
    <t>Cha ay Zhamorrah</t>
  </si>
  <si>
    <t>ausverkauft!</t>
  </si>
  <si>
    <t>Frisch erwachte Katze</t>
  </si>
  <si>
    <r>
      <rPr>
        <b/>
        <u/>
        <sz val="11"/>
        <color theme="1"/>
        <rFont val="Book Antiqua"/>
        <family val="1"/>
      </rPr>
      <t>Physische</t>
    </r>
    <r>
      <rPr>
        <b/>
        <sz val="11"/>
        <color theme="1"/>
        <rFont val="Book Antiqua"/>
        <family val="1"/>
      </rPr>
      <t xml:space="preserve"> Produkte des Crowdfundings</t>
    </r>
  </si>
  <si>
    <t>Stoff</t>
  </si>
  <si>
    <t>CD</t>
  </si>
  <si>
    <t>Buch + PDF</t>
  </si>
  <si>
    <t>Spielkartenset + PDF</t>
  </si>
  <si>
    <r>
      <t>Spielkartenset Bestiarium - Fasar</t>
    </r>
    <r>
      <rPr>
        <sz val="9"/>
        <color theme="1"/>
        <rFont val="Book Antiqua"/>
        <family val="1"/>
      </rPr>
      <t xml:space="preserve"> (Tarot-Format)</t>
    </r>
  </si>
  <si>
    <t>Katzendokumente</t>
  </si>
  <si>
    <t>Papierbögen</t>
  </si>
  <si>
    <t>Mondglöckchen</t>
  </si>
  <si>
    <t>Metall + Filzbeutel</t>
  </si>
  <si>
    <r>
      <t>Spielkartenset Bestiarium - Havena</t>
    </r>
    <r>
      <rPr>
        <sz val="9"/>
        <color theme="1"/>
        <rFont val="Book Antiqua"/>
        <family val="1"/>
      </rPr>
      <t xml:space="preserve"> (Tarot-Format)</t>
    </r>
  </si>
  <si>
    <t>Würfel</t>
  </si>
  <si>
    <r>
      <t>Würfelset 2 (Grün und Violett)</t>
    </r>
    <r>
      <rPr>
        <sz val="9"/>
        <color theme="1"/>
        <rFont val="Book Antiqua"/>
        <family val="1"/>
      </rPr>
      <t xml:space="preserve"> (je 2 W20 und 2 W6)</t>
    </r>
  </si>
  <si>
    <t>Havena-Stoffkarte</t>
  </si>
  <si>
    <t>Bestiarium (Havena)</t>
  </si>
  <si>
    <t>Samtpfoten (Abenteueranthologie für Havena)</t>
  </si>
  <si>
    <t>Nachtgeheul, 2. überarb. Auflage (Abenteueranthologie für Havena)</t>
  </si>
  <si>
    <t>Verschiedenes</t>
  </si>
  <si>
    <t>Acryl</t>
  </si>
  <si>
    <t>Notizbuch der Wanderkatze</t>
  </si>
  <si>
    <t>Katzenspuren (Heldenbrevier von Havena)</t>
  </si>
  <si>
    <t>Spielkartenset Kampf &amp; Abenteuer</t>
  </si>
  <si>
    <t>Katzenmusik (Soundtrack)</t>
  </si>
  <si>
    <t>Zusatzprodukt</t>
  </si>
  <si>
    <t>Kara Federglanz - Plüschi der Schwarzen Katze</t>
  </si>
  <si>
    <t>Plüschfigur</t>
  </si>
  <si>
    <t>Das Wanderkatze-Bundle</t>
  </si>
  <si>
    <t>Das Meisterkatze-Bundle</t>
  </si>
  <si>
    <t>Das Katzenspielzeug-Bundle</t>
  </si>
  <si>
    <t>PDF</t>
  </si>
  <si>
    <t>MP3</t>
  </si>
  <si>
    <t>Backer</t>
  </si>
  <si>
    <t>€</t>
  </si>
  <si>
    <t>letzter Stand</t>
  </si>
  <si>
    <t>erreichte Ziele</t>
  </si>
  <si>
    <t>nächste Stufe</t>
  </si>
  <si>
    <t>Abweichung</t>
  </si>
  <si>
    <t>alt</t>
  </si>
  <si>
    <t>aktuell</t>
  </si>
  <si>
    <t>Aufkleber</t>
  </si>
  <si>
    <t>Papierkarte</t>
  </si>
  <si>
    <t>Online</t>
  </si>
  <si>
    <t>1.</t>
  </si>
  <si>
    <t>2.</t>
  </si>
  <si>
    <t>5.</t>
  </si>
  <si>
    <t>3.</t>
  </si>
  <si>
    <t>7.</t>
  </si>
  <si>
    <t>Zusatzprodukt; Rabatt!</t>
  </si>
  <si>
    <t>Differenzpreis zum Rest des Pakets</t>
  </si>
  <si>
    <t>10.</t>
  </si>
  <si>
    <t>9.</t>
  </si>
  <si>
    <t>AKTUALISIEREN!</t>
  </si>
  <si>
    <r>
      <t xml:space="preserve">(made with </t>
    </r>
    <r>
      <rPr>
        <b/>
        <sz val="12"/>
        <color rgb="FFC00000"/>
        <rFont val="Book Antiqua"/>
        <family val="1"/>
      </rPr>
      <t>Auge</t>
    </r>
    <r>
      <rPr>
        <b/>
        <sz val="12"/>
        <color theme="1"/>
        <rFont val="Book Antiqua"/>
        <family val="1"/>
      </rPr>
      <t xml:space="preserve"> by Hinter dem Auge …der DSA-Info-Podcast!)</t>
    </r>
  </si>
  <si>
    <t>Der DSK-"Fasar: Brüchiger Frieden"-Einkaufsführer</t>
  </si>
  <si>
    <r>
      <t>Regelwerk</t>
    </r>
    <r>
      <rPr>
        <sz val="11"/>
        <color rgb="FFFF0000"/>
        <rFont val="Book Antiqua"/>
        <family val="1"/>
      </rPr>
      <t xml:space="preserve"> (Frisch erwachte Katze = OHNE PDF!)</t>
    </r>
  </si>
  <si>
    <r>
      <t xml:space="preserve">Meisterschirm &amp; Kompendium </t>
    </r>
    <r>
      <rPr>
        <sz val="11"/>
        <color rgb="FFFF0000"/>
        <rFont val="Book Antiqua"/>
        <family val="1"/>
      </rPr>
      <t>(Frisch erwachte Katze = OHNE PDF!)</t>
    </r>
  </si>
  <si>
    <t>Papierbögen + PDF</t>
  </si>
  <si>
    <t>Bücher + CD + PDF</t>
  </si>
  <si>
    <t>Bücher + Spielkarten + PDF</t>
  </si>
  <si>
    <t>Meisterschirm + Heft + PDF</t>
  </si>
  <si>
    <t>UVP-Preis
im F-Shop /ebooks</t>
  </si>
  <si>
    <t>11.</t>
  </si>
  <si>
    <t>"Noten für Pfoten"</t>
  </si>
  <si>
    <t>Nur als Teil des physischen Zusatzproduktes</t>
  </si>
  <si>
    <t>(alle Angaben ohne Gewähr!)</t>
  </si>
  <si>
    <t>Anzahl Unterstützer je Dankeschön</t>
  </si>
  <si>
    <t>Anteil Min.</t>
  </si>
  <si>
    <t>Anstieg Min.</t>
  </si>
  <si>
    <t>Anteil Max.</t>
  </si>
  <si>
    <t>Anstieg Max.</t>
  </si>
  <si>
    <t>10.02.2021, 20:00</t>
  </si>
  <si>
    <r>
      <t>Die Schwarze Katze Crowdfunding-Pack</t>
    </r>
    <r>
      <rPr>
        <sz val="9"/>
        <color theme="1"/>
        <rFont val="Book Antiqua"/>
        <family val="1"/>
      </rPr>
      <t xml:space="preserve"> (aus dem 1. Crowdfunding)</t>
    </r>
    <r>
      <rPr>
        <sz val="11"/>
        <color rgb="FFFF0000"/>
        <rFont val="Book Antiqua"/>
        <family val="1"/>
      </rPr>
      <t xml:space="preserve"> (Frisch erwachte Katze = OHNE PDFs!)</t>
    </r>
  </si>
  <si>
    <t>für deine</t>
  </si>
  <si>
    <t>"Immer Gulsach-lich bleiben"</t>
  </si>
  <si>
    <t>"Künstlerische Betätigung"</t>
  </si>
  <si>
    <r>
      <t>DSK-Regelwiki</t>
    </r>
    <r>
      <rPr>
        <b/>
        <sz val="11"/>
        <color theme="1"/>
        <rFont val="Book Antiqua"/>
        <family val="1"/>
      </rPr>
      <t xml:space="preserve"> (7. Ziel)</t>
    </r>
  </si>
  <si>
    <t>13.</t>
  </si>
  <si>
    <t>15.</t>
  </si>
  <si>
    <t>"Selbst ist die Katze"</t>
  </si>
  <si>
    <t>1.-10. Ziel</t>
  </si>
  <si>
    <t>11.-13. Ziel</t>
  </si>
  <si>
    <t>Tag</t>
  </si>
  <si>
    <t>Wochentag</t>
  </si>
  <si>
    <t>Timecode</t>
  </si>
  <si>
    <t>Uhrzeit</t>
  </si>
  <si>
    <t>h ges.</t>
  </si>
  <si>
    <t>h Diff.</t>
  </si>
  <si>
    <t>€ ges. Ist</t>
  </si>
  <si>
    <t>€ ges. Kalk max</t>
  </si>
  <si>
    <t>Abw.</t>
  </si>
  <si>
    <t>€ ges. Kalk min</t>
  </si>
  <si>
    <t>€ Diff.</t>
  </si>
  <si>
    <t>Backer ges.</t>
  </si>
  <si>
    <t>€/Backer</t>
  </si>
  <si>
    <t>€/Tag</t>
  </si>
  <si>
    <t>€/Tag ges.</t>
  </si>
  <si>
    <t>Backer Diff.</t>
  </si>
  <si>
    <t>Schnitt l. 5 Tage</t>
  </si>
  <si>
    <t>€/Backer NEU</t>
  </si>
  <si>
    <t>DSK:Fasar</t>
  </si>
  <si>
    <t>AVENTURIA:Nedime</t>
  </si>
  <si>
    <t>DSA:Werkzeuge</t>
  </si>
  <si>
    <t>DSA:Thorwal</t>
  </si>
  <si>
    <t>%</t>
  </si>
  <si>
    <t>DSK</t>
  </si>
  <si>
    <t>Original</t>
  </si>
  <si>
    <t>Normiert</t>
  </si>
  <si>
    <t>Tag 1 mal X</t>
  </si>
  <si>
    <t>Aventuria (€)</t>
  </si>
  <si>
    <t>Aventuria (Backer)</t>
  </si>
  <si>
    <t>Thorwal norm (€)</t>
  </si>
  <si>
    <t>Thorwal norm (Backer)</t>
  </si>
  <si>
    <t>Werkzeuge norm (€)</t>
  </si>
  <si>
    <t>Werkzeuge norm (Backer)</t>
  </si>
  <si>
    <t>Mythos norm (€)</t>
  </si>
  <si>
    <t>Mythos norm (Backer)</t>
  </si>
  <si>
    <t>Thorwal (€)</t>
  </si>
  <si>
    <t>Thorwal (Backer)</t>
  </si>
  <si>
    <t>Werkzeuge (€)</t>
  </si>
  <si>
    <t>Werkzeuge (Backer)</t>
  </si>
  <si>
    <t>Mythos (€)</t>
  </si>
  <si>
    <t>Mythos (Backer)</t>
  </si>
  <si>
    <t>Aventuria (€) %</t>
  </si>
  <si>
    <t>Aventuria (Backer) %</t>
  </si>
  <si>
    <t>Thorwal (€) %</t>
  </si>
  <si>
    <t>Thorwal (Backer) %</t>
  </si>
  <si>
    <t>Werkzeuge (€) %</t>
  </si>
  <si>
    <t>Werkzeuge (Backer) %</t>
  </si>
  <si>
    <t>Mythos (€) %</t>
  </si>
  <si>
    <t>Mthos (Backer) %</t>
  </si>
  <si>
    <t>MP TW (€)</t>
  </si>
  <si>
    <t>MP TW (B)</t>
  </si>
  <si>
    <t>MP AV (€)</t>
  </si>
  <si>
    <t>MP AV (B)</t>
  </si>
  <si>
    <t>MP WZ (€)</t>
  </si>
  <si>
    <t>MP WZ (B)</t>
  </si>
  <si>
    <t>DSK (€)</t>
  </si>
  <si>
    <t>DSK (Backer)</t>
  </si>
  <si>
    <t>DSK norm (€)</t>
  </si>
  <si>
    <t>DSK norm (Backer)</t>
  </si>
  <si>
    <t>MP DSK (€)</t>
  </si>
  <si>
    <t>MP DSK (B)</t>
  </si>
  <si>
    <t>Tag 2 mal X</t>
  </si>
  <si>
    <t>Min:</t>
  </si>
  <si>
    <t>Max:</t>
  </si>
  <si>
    <t>B</t>
  </si>
  <si>
    <t>Min Tag 1</t>
  </si>
  <si>
    <t>Max Tag 1</t>
  </si>
  <si>
    <t>Min Tag 2</t>
  </si>
  <si>
    <t>Max Tag 2</t>
  </si>
  <si>
    <t>Schnitt</t>
  </si>
  <si>
    <t>siehe Vergleich</t>
  </si>
  <si>
    <t>€ kum.</t>
  </si>
  <si>
    <t>Backer kum</t>
  </si>
  <si>
    <t>Vorlage Tag 3</t>
  </si>
  <si>
    <t>bis</t>
  </si>
  <si>
    <t>Schnitt €</t>
  </si>
  <si>
    <t>Schnitt B</t>
  </si>
  <si>
    <t>4* Tag 2</t>
  </si>
  <si>
    <t>3* Tag 2</t>
  </si>
  <si>
    <t>Anteil Ist/HR</t>
  </si>
  <si>
    <t>Anstieg Ist/HR</t>
  </si>
  <si>
    <t>20k/30k/40k/50k</t>
  </si>
  <si>
    <t>"Die Musik wird versilbert"</t>
  </si>
  <si>
    <t>14. Ziel</t>
  </si>
  <si>
    <t>https://www.gameontabletop.com/cf433/die-schwarze-katze-fasar-bruchiger-frieden.html</t>
  </si>
  <si>
    <t>gemischt</t>
  </si>
  <si>
    <r>
      <t>Katzendokumente</t>
    </r>
    <r>
      <rPr>
        <sz val="9"/>
        <color theme="1"/>
        <rFont val="Book Antiqua"/>
        <family val="1"/>
      </rPr>
      <t xml:space="preserve"> (10 Bögen)</t>
    </r>
  </si>
  <si>
    <r>
      <t xml:space="preserve">Schicksalspunkte </t>
    </r>
    <r>
      <rPr>
        <sz val="9"/>
        <color theme="1"/>
        <rFont val="Book Antiqua"/>
        <family val="1"/>
      </rPr>
      <t>(20 Stück)</t>
    </r>
  </si>
  <si>
    <t>Summe Meister-Paket</t>
  </si>
  <si>
    <t>Summe CF-Paket</t>
  </si>
  <si>
    <r>
      <t>- Aufkleber "Das göttliche Paar"</t>
    </r>
    <r>
      <rPr>
        <b/>
        <i/>
        <sz val="11"/>
        <color theme="1"/>
        <rFont val="Book Antiqua"/>
        <family val="1"/>
      </rPr>
      <t xml:space="preserve"> </t>
    </r>
    <r>
      <rPr>
        <i/>
        <sz val="11"/>
        <color theme="1"/>
        <rFont val="Book Antiqua"/>
        <family val="1"/>
      </rPr>
      <t>(</t>
    </r>
    <r>
      <rPr>
        <b/>
        <i/>
        <sz val="11"/>
        <color theme="1"/>
        <rFont val="Book Antiqua"/>
        <family val="1"/>
      </rPr>
      <t>1. Ziel</t>
    </r>
    <r>
      <rPr>
        <i/>
        <sz val="11"/>
        <color theme="1"/>
        <rFont val="Book Antiqua"/>
        <family val="1"/>
      </rPr>
      <t>)</t>
    </r>
  </si>
  <si>
    <r>
      <t>- Aufkleber "Fenk"</t>
    </r>
    <r>
      <rPr>
        <b/>
        <i/>
        <sz val="11"/>
        <color theme="1"/>
        <rFont val="Book Antiqua"/>
        <family val="1"/>
      </rPr>
      <t xml:space="preserve"> (9. Ziel)</t>
    </r>
  </si>
  <si>
    <r>
      <t>- Aufkleber "Gulsach"</t>
    </r>
    <r>
      <rPr>
        <b/>
        <i/>
        <sz val="11"/>
        <color theme="1"/>
        <rFont val="Book Antiqua"/>
        <family val="1"/>
      </rPr>
      <t xml:space="preserve"> (13. Ziel)</t>
    </r>
  </si>
  <si>
    <r>
      <t>- Posterkarte Fasar</t>
    </r>
    <r>
      <rPr>
        <b/>
        <i/>
        <sz val="11"/>
        <color theme="1"/>
        <rFont val="Book Antiqua"/>
        <family val="1"/>
      </rPr>
      <t xml:space="preserve"> (2. Ziel)</t>
    </r>
  </si>
  <si>
    <r>
      <t>- Coverposter "Brüchiger Frieden" (A3)</t>
    </r>
    <r>
      <rPr>
        <b/>
        <i/>
        <sz val="11"/>
        <color theme="1"/>
        <rFont val="Book Antiqua"/>
        <family val="1"/>
      </rPr>
      <t xml:space="preserve"> (5. Ziel)</t>
    </r>
  </si>
  <si>
    <t>15. Ziel</t>
  </si>
  <si>
    <t>Min. Schätzung</t>
  </si>
  <si>
    <t>Max. Schätzung</t>
  </si>
  <si>
    <t>Stand Ist/HR</t>
  </si>
  <si>
    <t>Anmerkungen</t>
  </si>
  <si>
    <r>
      <t>Das zahlst du mehr</t>
    </r>
    <r>
      <rPr>
        <b/>
        <sz val="11"/>
        <color rgb="FFFF0000"/>
        <rFont val="Book Antiqua"/>
        <family val="1"/>
      </rPr>
      <t xml:space="preserve"> (rote Zahl) </t>
    </r>
    <r>
      <rPr>
        <b/>
        <sz val="11"/>
        <color theme="1"/>
        <rFont val="Book Antiqua"/>
        <family val="1"/>
      </rPr>
      <t>oder weniger</t>
    </r>
    <r>
      <rPr>
        <b/>
        <sz val="11"/>
        <color rgb="FF00B050"/>
        <rFont val="Book Antiqua"/>
        <family val="1"/>
      </rPr>
      <t xml:space="preserve"> (grüne Zahl)</t>
    </r>
    <r>
      <rPr>
        <b/>
        <sz val="11"/>
        <color theme="1"/>
        <rFont val="Book Antiqua"/>
        <family val="1"/>
      </rPr>
      <t>, wenn du das Dankeschön "Mungo" wählst</t>
    </r>
    <r>
      <rPr>
        <b/>
        <sz val="11"/>
        <color rgb="FF00B050"/>
        <rFont val="Book Antiqua"/>
        <family val="1"/>
      </rPr>
      <t/>
    </r>
  </si>
  <si>
    <r>
      <t>Das zahlst du mehr</t>
    </r>
    <r>
      <rPr>
        <b/>
        <sz val="11"/>
        <color rgb="FFFF0000"/>
        <rFont val="Book Antiqua"/>
        <family val="1"/>
      </rPr>
      <t xml:space="preserve"> (rote Zahl) </t>
    </r>
    <r>
      <rPr>
        <b/>
        <sz val="11"/>
        <color theme="1"/>
        <rFont val="Book Antiqua"/>
        <family val="1"/>
      </rPr>
      <t>oder weniger</t>
    </r>
    <r>
      <rPr>
        <b/>
        <sz val="11"/>
        <color rgb="FF00B050"/>
        <rFont val="Book Antiqua"/>
        <family val="1"/>
      </rPr>
      <t xml:space="preserve"> (grüne Zahl)</t>
    </r>
    <r>
      <rPr>
        <b/>
        <sz val="11"/>
        <color theme="1"/>
        <rFont val="Book Antiqua"/>
        <family val="1"/>
      </rPr>
      <t>, wenn du das Dankeschön "Rahjatänzer" wählst</t>
    </r>
    <r>
      <rPr>
        <b/>
        <sz val="11"/>
        <color rgb="FF00B050"/>
        <rFont val="Book Antiqua"/>
        <family val="1"/>
      </rPr>
      <t/>
    </r>
  </si>
  <si>
    <r>
      <t>Das zahlst du mehr</t>
    </r>
    <r>
      <rPr>
        <b/>
        <sz val="11"/>
        <color rgb="FFFF0000"/>
        <rFont val="Book Antiqua"/>
        <family val="1"/>
      </rPr>
      <t xml:space="preserve"> (rote Zahl) </t>
    </r>
    <r>
      <rPr>
        <b/>
        <sz val="11"/>
        <color theme="1"/>
        <rFont val="Book Antiqua"/>
        <family val="1"/>
      </rPr>
      <t>oder weniger</t>
    </r>
    <r>
      <rPr>
        <b/>
        <sz val="11"/>
        <color rgb="FF00B050"/>
        <rFont val="Book Antiqua"/>
        <family val="1"/>
      </rPr>
      <t xml:space="preserve"> (grüne Zahl)</t>
    </r>
    <r>
      <rPr>
        <b/>
        <sz val="11"/>
        <color theme="1"/>
        <rFont val="Book Antiqua"/>
        <family val="1"/>
      </rPr>
      <t>, wenn du das Dankeschön "Sandkatze" wählst</t>
    </r>
    <r>
      <rPr>
        <b/>
        <sz val="11"/>
        <color rgb="FF00B050"/>
        <rFont val="Book Antiqua"/>
        <family val="1"/>
      </rPr>
      <t/>
    </r>
  </si>
  <si>
    <t xml:space="preserve">                                                    © 2021 by Ulisses Spiele GmbH</t>
  </si>
  <si>
    <t>Summe</t>
  </si>
  <si>
    <t>REGISTER "Vergleich" ist ausgeblendet!!!</t>
  </si>
  <si>
    <t>4.</t>
  </si>
  <si>
    <t>6.</t>
  </si>
  <si>
    <t>8.</t>
  </si>
  <si>
    <t>12.</t>
  </si>
  <si>
    <t>14.</t>
  </si>
  <si>
    <t>16.</t>
  </si>
  <si>
    <t>17.</t>
  </si>
  <si>
    <t>18.</t>
  </si>
  <si>
    <t>4./8./12./16.</t>
  </si>
  <si>
    <r>
      <t>Klänge von Fasar (Soundtrack)</t>
    </r>
    <r>
      <rPr>
        <sz val="9"/>
        <color theme="1"/>
        <rFont val="Book Antiqua"/>
        <family val="1"/>
      </rPr>
      <t xml:space="preserve"> (20 Tracks)</t>
    </r>
    <r>
      <rPr>
        <b/>
        <sz val="11"/>
        <color theme="1"/>
        <rFont val="Book Antiqua"/>
        <family val="1"/>
      </rPr>
      <t xml:space="preserve"> (4. + 8. + 12. + 16. Ziel)</t>
    </r>
  </si>
  <si>
    <t>"Margos Wappen"</t>
  </si>
  <si>
    <t>"Charakterbögen der Fenneks"</t>
  </si>
  <si>
    <r>
      <rPr>
        <b/>
        <u/>
        <sz val="11"/>
        <color theme="1"/>
        <rFont val="Book Antiqua"/>
        <family val="1"/>
      </rPr>
      <t>Digitale/Sonstige</t>
    </r>
    <r>
      <rPr>
        <b/>
        <sz val="11"/>
        <color theme="1"/>
        <rFont val="Book Antiqua"/>
        <family val="1"/>
      </rPr>
      <t xml:space="preserve"> Produkte des Crowdfundings</t>
    </r>
    <r>
      <rPr>
        <b/>
        <sz val="11"/>
        <color rgb="FFFF0000"/>
        <rFont val="Book Antiqua"/>
        <family val="1"/>
      </rPr>
      <t/>
    </r>
  </si>
  <si>
    <t>30.</t>
  </si>
  <si>
    <r>
      <t>Klänge von Fasar (Soundtrack)</t>
    </r>
    <r>
      <rPr>
        <sz val="9"/>
        <color theme="1"/>
        <rFont val="Book Antiqua"/>
        <family val="1"/>
      </rPr>
      <t xml:space="preserve"> (20 Tracks)</t>
    </r>
    <r>
      <rPr>
        <b/>
        <sz val="11"/>
        <color theme="1"/>
        <rFont val="Book Antiqua"/>
        <family val="1"/>
      </rPr>
      <t xml:space="preserve"> (16. Ziel)</t>
    </r>
  </si>
  <si>
    <t>16. Ziel</t>
  </si>
  <si>
    <t>"Auf Wanderschaft"</t>
  </si>
  <si>
    <t>"Motiv für GetShirts"</t>
  </si>
  <si>
    <t>11./19.</t>
  </si>
  <si>
    <t>37,5k/57,5k</t>
  </si>
  <si>
    <t>20.</t>
  </si>
  <si>
    <t>Motiv für GetShirts</t>
  </si>
  <si>
    <t>T-Shirt muss extra bestellt werden</t>
  </si>
  <si>
    <t>17. Ziel</t>
  </si>
  <si>
    <t>18. Ziel</t>
  </si>
  <si>
    <r>
      <t>- Aufkleber "Margo"</t>
    </r>
    <r>
      <rPr>
        <b/>
        <i/>
        <sz val="11"/>
        <color theme="1"/>
        <rFont val="Book Antiqua"/>
        <family val="1"/>
      </rPr>
      <t xml:space="preserve"> (17. Ziel)</t>
    </r>
  </si>
  <si>
    <t>19. Ziel</t>
  </si>
  <si>
    <t>"Wer schreibt, der bleibt!"</t>
  </si>
  <si>
    <t>"Bei den Ahnen"</t>
  </si>
  <si>
    <t>21.</t>
  </si>
  <si>
    <t>"Das Raumschiff"</t>
  </si>
  <si>
    <r>
      <rPr>
        <sz val="11"/>
        <color theme="1"/>
        <rFont val="Book Antiqua"/>
        <family val="1"/>
      </rPr>
      <t xml:space="preserve">Jenseits der Mauern (Erweiterung für Havena) </t>
    </r>
    <r>
      <rPr>
        <sz val="9"/>
        <color theme="1"/>
        <rFont val="Book Antiqua"/>
        <family val="1"/>
      </rPr>
      <t>+ Praioskind</t>
    </r>
    <r>
      <rPr>
        <b/>
        <sz val="9"/>
        <color theme="1"/>
        <rFont val="Book Antiqua"/>
        <family val="1"/>
      </rPr>
      <t xml:space="preserve"> (11. Ziel) </t>
    </r>
    <r>
      <rPr>
        <sz val="9"/>
        <color theme="1"/>
        <rFont val="Book Antiqua"/>
        <family val="1"/>
      </rPr>
      <t>+ Wandererkind</t>
    </r>
    <r>
      <rPr>
        <b/>
        <sz val="9"/>
        <color theme="1"/>
        <rFont val="Book Antiqua"/>
        <family val="1"/>
      </rPr>
      <t xml:space="preserve"> (19. Ziel)</t>
    </r>
  </si>
  <si>
    <r>
      <t xml:space="preserve">- Handouts mit nützlichen Informationen für Abenteuer aus Brüchiger Frieden </t>
    </r>
    <r>
      <rPr>
        <b/>
        <i/>
        <sz val="11"/>
        <color theme="1"/>
        <rFont val="Book Antiqua"/>
        <family val="1"/>
      </rPr>
      <t>(21. Ziel)</t>
    </r>
  </si>
  <si>
    <r>
      <t>Neues Motiv bei GetShirts</t>
    </r>
    <r>
      <rPr>
        <b/>
        <sz val="11"/>
        <color theme="1"/>
        <rFont val="Book Antiqua"/>
        <family val="1"/>
      </rPr>
      <t xml:space="preserve"> (20. Ziel); nur für kurze Zeit bestellbar</t>
    </r>
  </si>
  <si>
    <t>Die Schwarze Katze Meister-Paket Fasar                      ; enthält:</t>
  </si>
  <si>
    <t>Die Schwarze Katze Crowdfunding-Paket Fasar                      ; enthält:</t>
  </si>
  <si>
    <t>20.-21. Ziel</t>
  </si>
  <si>
    <t>"Kunstvolles Zubehör"</t>
  </si>
  <si>
    <t>15./24.</t>
  </si>
  <si>
    <t>47,5k/70k</t>
  </si>
  <si>
    <t>22. Ziel</t>
  </si>
  <si>
    <t>23. Ziel</t>
  </si>
  <si>
    <t>24. Ziel</t>
  </si>
  <si>
    <r>
      <t xml:space="preserve">Eigener Abschnitt + Layout-Material + Artwork-Bundle für DSK im Scriptorium </t>
    </r>
    <r>
      <rPr>
        <b/>
        <sz val="11"/>
        <color theme="1"/>
        <rFont val="Book Antiqua"/>
        <family val="1"/>
      </rPr>
      <t>(15. + 24. Ziel)</t>
    </r>
    <r>
      <rPr>
        <b/>
        <sz val="9"/>
        <color theme="1"/>
        <rFont val="Book Antiqua"/>
        <family val="1"/>
      </rPr>
      <t/>
    </r>
  </si>
  <si>
    <t>25.</t>
  </si>
  <si>
    <t>"Trach als Aufkleber"</t>
  </si>
  <si>
    <t>"Ein bunter Band"</t>
  </si>
  <si>
    <t>6./14./22./26.</t>
  </si>
  <si>
    <t>25k/45/65k/75k</t>
  </si>
  <si>
    <t>25. Ziel</t>
  </si>
  <si>
    <r>
      <t>- Aufkleber "Trach"</t>
    </r>
    <r>
      <rPr>
        <b/>
        <i/>
        <sz val="11"/>
        <color theme="1"/>
        <rFont val="Book Antiqua"/>
        <family val="1"/>
      </rPr>
      <t xml:space="preserve"> (25. Ziel)</t>
    </r>
  </si>
  <si>
    <t>"Geisterhafte Gegner"</t>
  </si>
  <si>
    <t>26. Ziel</t>
  </si>
  <si>
    <t>"Digitaler Wandschmuck"</t>
  </si>
  <si>
    <r>
      <t xml:space="preserve">- Ausmalbögen-Band </t>
    </r>
    <r>
      <rPr>
        <i/>
        <sz val="9"/>
        <color theme="1"/>
        <rFont val="Book Antiqua"/>
        <family val="1"/>
      </rPr>
      <t xml:space="preserve">(16 Motive) </t>
    </r>
    <r>
      <rPr>
        <b/>
        <i/>
        <sz val="11"/>
        <color theme="1"/>
        <rFont val="Book Antiqua"/>
        <family val="1"/>
      </rPr>
      <t>(6. + 14. + 22. +26. Ziel)</t>
    </r>
  </si>
  <si>
    <t>28.</t>
  </si>
  <si>
    <t>"Nützliche Einlegeblätter"</t>
  </si>
  <si>
    <t>"Mysteriöse Spuren"</t>
  </si>
  <si>
    <t>"Bizarre Bestien"</t>
  </si>
  <si>
    <t>"Katzen mögen Boxen"</t>
  </si>
  <si>
    <t>27.+28. Ziel</t>
  </si>
  <si>
    <t>29.+30. Ziel</t>
  </si>
  <si>
    <r>
      <t>Cover-Motiv "Brüchiger Frieden" als Bildschirmhintergrund</t>
    </r>
    <r>
      <rPr>
        <b/>
        <sz val="11"/>
        <color theme="1"/>
        <rFont val="Book Antiqua"/>
        <family val="1"/>
      </rPr>
      <t xml:space="preserve"> (28. Ziel)</t>
    </r>
  </si>
  <si>
    <t>29.</t>
  </si>
  <si>
    <r>
      <t>- Einlegeblätter für den Univsersal-Spielleiterschirm</t>
    </r>
    <r>
      <rPr>
        <b/>
        <i/>
        <sz val="11"/>
        <color theme="1"/>
        <rFont val="Book Antiqua"/>
        <family val="1"/>
      </rPr>
      <t xml:space="preserve"> (29. Ziel)</t>
    </r>
  </si>
  <si>
    <r>
      <t xml:space="preserve">Jenseits der Türme (Erweiterung für Fasar) </t>
    </r>
    <r>
      <rPr>
        <sz val="9"/>
        <rFont val="Book Antiqua"/>
        <family val="1"/>
      </rPr>
      <t>+ Ruinen von Zhamorra</t>
    </r>
    <r>
      <rPr>
        <b/>
        <sz val="9"/>
        <rFont val="Book Antiqua"/>
        <family val="1"/>
      </rPr>
      <t xml:space="preserve"> </t>
    </r>
    <r>
      <rPr>
        <sz val="9"/>
        <rFont val="Book Antiqua"/>
        <family val="1"/>
      </rPr>
      <t xml:space="preserve">+ Borbarads Raumschiff + Erdwölfe </t>
    </r>
    <r>
      <rPr>
        <b/>
        <sz val="9"/>
        <rFont val="Book Antiqua"/>
        <family val="1"/>
      </rPr>
      <t>(3.+23.+30. Ziel)</t>
    </r>
  </si>
  <si>
    <t>27./31.</t>
  </si>
  <si>
    <t>77,5k/87,5k</t>
  </si>
  <si>
    <t>3./23./30.</t>
  </si>
  <si>
    <t>17,5k/67,5k/85k</t>
  </si>
  <si>
    <t>Box</t>
  </si>
  <si>
    <r>
      <t>Bestiarium (Fasar)</t>
    </r>
    <r>
      <rPr>
        <sz val="9"/>
        <color theme="1"/>
        <rFont val="Book Antiqua"/>
        <family val="1"/>
      </rPr>
      <t xml:space="preserve"> + 3 unheimliche Geister</t>
    </r>
    <r>
      <rPr>
        <b/>
        <sz val="9"/>
        <color theme="1"/>
        <rFont val="Book Antiqua"/>
        <family val="1"/>
      </rPr>
      <t xml:space="preserve"> (27. Ziel) </t>
    </r>
    <r>
      <rPr>
        <sz val="9"/>
        <color theme="1"/>
        <rFont val="Book Antiqua"/>
        <family val="1"/>
      </rPr>
      <t xml:space="preserve">+ 3 Bizarre Bestien </t>
    </r>
    <r>
      <rPr>
        <b/>
        <sz val="9"/>
        <color theme="1"/>
        <rFont val="Book Antiqua"/>
        <family val="1"/>
      </rPr>
      <t>(31. Ziel)</t>
    </r>
  </si>
  <si>
    <r>
      <t>Sammelbox als Zusatzprodukt</t>
    </r>
    <r>
      <rPr>
        <b/>
        <sz val="11"/>
        <color theme="1"/>
        <rFont val="Book Antiqua"/>
        <family val="1"/>
      </rPr>
      <t xml:space="preserve"> (32. Ziel)</t>
    </r>
  </si>
  <si>
    <t>"Übernatürliche Artefakte"</t>
  </si>
  <si>
    <t>3./23./30./33.</t>
  </si>
  <si>
    <t>77,5k/87,5k/92,5k</t>
  </si>
  <si>
    <t>19.</t>
  </si>
  <si>
    <t>Bildschrimhintergrund</t>
  </si>
  <si>
    <t>31.+32. Ziel</t>
  </si>
  <si>
    <t>Wunsch-
produkte</t>
  </si>
  <si>
    <t>"Charakterstarke Mungos"</t>
  </si>
  <si>
    <t>"Charakterbögen der Erdwölfe"</t>
  </si>
  <si>
    <t>"Das alles und noch viel mehr"</t>
  </si>
  <si>
    <t>"Liebesgrüße aus Havena"</t>
  </si>
  <si>
    <t>35k/100k</t>
  </si>
  <si>
    <t>55k/100k</t>
  </si>
  <si>
    <t>95k/100k</t>
  </si>
  <si>
    <t>97,5k/100k</t>
  </si>
  <si>
    <t>10./36.</t>
  </si>
  <si>
    <t>18./36</t>
  </si>
  <si>
    <t>34./36.</t>
  </si>
  <si>
    <t>35./36.</t>
  </si>
  <si>
    <r>
      <t>- Charakterbögen für Hunde</t>
    </r>
    <r>
      <rPr>
        <i/>
        <sz val="9"/>
        <color theme="1"/>
        <rFont val="Book Antiqua"/>
        <family val="1"/>
      </rPr>
      <t xml:space="preserve"> (4 Stück)</t>
    </r>
    <r>
      <rPr>
        <b/>
        <i/>
        <sz val="11"/>
        <color theme="1"/>
        <rFont val="Book Antiqua"/>
        <family val="1"/>
      </rPr>
      <t xml:space="preserve"> (10.+ 36. Ziel)</t>
    </r>
  </si>
  <si>
    <r>
      <t>- Charakterbögen der Fenneks</t>
    </r>
    <r>
      <rPr>
        <i/>
        <sz val="9"/>
        <color theme="1"/>
        <rFont val="Book Antiqua"/>
        <family val="1"/>
      </rPr>
      <t xml:space="preserve"> (4 Stück)</t>
    </r>
    <r>
      <rPr>
        <b/>
        <i/>
        <sz val="11"/>
        <color theme="1"/>
        <rFont val="Book Antiqua"/>
        <family val="1"/>
      </rPr>
      <t xml:space="preserve"> (18. + 36. Ziel)</t>
    </r>
  </si>
  <si>
    <r>
      <t>- Charakterbögen für Mungos</t>
    </r>
    <r>
      <rPr>
        <i/>
        <sz val="9"/>
        <color theme="1"/>
        <rFont val="Book Antiqua"/>
        <family val="1"/>
      </rPr>
      <t xml:space="preserve"> (4 Stück)</t>
    </r>
    <r>
      <rPr>
        <b/>
        <i/>
        <sz val="11"/>
        <color theme="1"/>
        <rFont val="Book Antiqua"/>
        <family val="1"/>
      </rPr>
      <t xml:space="preserve"> (34. + 36. Ziel)</t>
    </r>
  </si>
  <si>
    <r>
      <t>- Charakterbögen der Erdwölfe</t>
    </r>
    <r>
      <rPr>
        <i/>
        <sz val="9"/>
        <color theme="1"/>
        <rFont val="Book Antiqua"/>
        <family val="1"/>
      </rPr>
      <t xml:space="preserve"> (4 Stück)</t>
    </r>
    <r>
      <rPr>
        <b/>
        <i/>
        <sz val="11"/>
        <color theme="1"/>
        <rFont val="Book Antiqua"/>
        <family val="1"/>
      </rPr>
      <t xml:space="preserve"> (35. + 36. Ziel)</t>
    </r>
  </si>
  <si>
    <t>36.</t>
  </si>
  <si>
    <t>100.</t>
  </si>
  <si>
    <r>
      <t>Fasar-Let's Play</t>
    </r>
    <r>
      <rPr>
        <b/>
        <sz val="11"/>
        <color theme="1"/>
        <rFont val="Book Antiqua"/>
        <family val="1"/>
      </rPr>
      <t xml:space="preserve"> (100. Ziel)</t>
    </r>
  </si>
  <si>
    <t>Let's Play</t>
  </si>
  <si>
    <t>37.</t>
  </si>
  <si>
    <t>19:35</t>
  </si>
  <si>
    <t>33.-36. Ziel</t>
  </si>
  <si>
    <t>"Aus Holz geschnitzt"</t>
  </si>
  <si>
    <t>"Ikonographie"</t>
  </si>
  <si>
    <t>"Fasarer Fetzen"</t>
  </si>
  <si>
    <t>"Ikonographie²"</t>
  </si>
  <si>
    <r>
      <t>- Coverposter "Jenseits der Mauer" (A3)</t>
    </r>
    <r>
      <rPr>
        <b/>
        <i/>
        <sz val="11"/>
        <color theme="1"/>
        <rFont val="Book Antiqua"/>
        <family val="1"/>
      </rPr>
      <t xml:space="preserve"> (37. Ziel)</t>
    </r>
  </si>
  <si>
    <t>38.</t>
  </si>
  <si>
    <r>
      <t>Holz-Lesezeichen</t>
    </r>
    <r>
      <rPr>
        <b/>
        <sz val="11"/>
        <color theme="1"/>
        <rFont val="Book Antiqua"/>
        <family val="1"/>
      </rPr>
      <t xml:space="preserve"> (38. Ziel)</t>
    </r>
  </si>
  <si>
    <t>Holz</t>
  </si>
  <si>
    <t>39./41.</t>
  </si>
  <si>
    <t>107,5k/112,5k</t>
  </si>
  <si>
    <t>Fasarer Fetzen (Kurzabenteuer)</t>
  </si>
  <si>
    <t>40.</t>
  </si>
  <si>
    <t>37.-40. Ziel</t>
  </si>
  <si>
    <t>Finaler</t>
  </si>
  <si>
    <t>Stand</t>
  </si>
  <si>
    <t>"Spielkartendesign"</t>
  </si>
  <si>
    <t>"Im Schatten des Turms"</t>
  </si>
  <si>
    <t>"Zu Papier gebracht"</t>
  </si>
  <si>
    <t>20:00</t>
  </si>
  <si>
    <t>Spielkartendesign im Scriptorium (42. Ziel)</t>
  </si>
  <si>
    <t>42.</t>
  </si>
  <si>
    <r>
      <t>- Coverposter "Jenseits der Türme" (A3)</t>
    </r>
    <r>
      <rPr>
        <b/>
        <i/>
        <sz val="11"/>
        <color theme="1"/>
        <rFont val="Book Antiqua"/>
        <family val="1"/>
      </rPr>
      <t xml:space="preserve"> (43. Ziel)</t>
    </r>
  </si>
  <si>
    <t>Poster</t>
  </si>
  <si>
    <r>
      <t>- Ausgefüllte Charakterbögen der ikonischen Charaktere</t>
    </r>
    <r>
      <rPr>
        <i/>
        <sz val="9"/>
        <color theme="1"/>
        <rFont val="Book Antiqua"/>
        <family val="1"/>
      </rPr>
      <t xml:space="preserve"> (8 Stück)</t>
    </r>
    <r>
      <rPr>
        <i/>
        <sz val="11"/>
        <color theme="1"/>
        <rFont val="Book Antiqua"/>
        <family val="1"/>
      </rPr>
      <t xml:space="preserve"> </t>
    </r>
    <r>
      <rPr>
        <b/>
        <i/>
        <sz val="11"/>
        <color theme="1"/>
        <rFont val="Book Antiqua"/>
        <family val="1"/>
      </rPr>
      <t>(39. + 41. Ziel)</t>
    </r>
  </si>
  <si>
    <r>
      <t xml:space="preserve">Jenseits der Türme (Erweiterung für Fasar) </t>
    </r>
    <r>
      <rPr>
        <sz val="9"/>
        <rFont val="Book Antiqua"/>
        <family val="1"/>
      </rPr>
      <t>+Zhamorra</t>
    </r>
    <r>
      <rPr>
        <sz val="9"/>
        <rFont val="Book Antiqua"/>
        <family val="1"/>
      </rPr>
      <t xml:space="preserve">+Raumschiff+Erdwölfe+Artefakte </t>
    </r>
    <r>
      <rPr>
        <b/>
        <sz val="9"/>
        <rFont val="Book Antiqua"/>
        <family val="1"/>
      </rPr>
      <t>(3.+23.+30.+33. Ziel)</t>
    </r>
    <r>
      <rPr>
        <strike/>
        <sz val="9"/>
        <rFont val="Book Antiqua"/>
        <family val="1"/>
      </rPr>
      <t/>
    </r>
  </si>
  <si>
    <t>Heft + PDF</t>
  </si>
  <si>
    <t>44.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</si>
</sst>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,##0\ &quot;€&quot;"/>
    <numFmt numFmtId="165" formatCode="#,##0.00\ &quot;€&quot;"/>
    <numFmt numFmtId="166" formatCode="[$$-1009]#,##0"/>
    <numFmt numFmtId="167" formatCode="[$$-409]#,##0"/>
    <numFmt numFmtId="168" formatCode="[$£-809]#,##0"/>
    <numFmt numFmtId="169" formatCode="0.0%"/>
    <numFmt numFmtId="170" formatCode="dddd"/>
    <numFmt numFmtId="171" formatCode="h:mm;@"/>
    <numFmt numFmtId="172" formatCode="[h]:mm"/>
    <numFmt numFmtId="173" formatCode="0&quot;. Tag&quot;"/>
    <numFmt numFmtId="174" formatCode="dd/mm/yy"/>
    <numFmt numFmtId="175" formatCode="0&quot;/10&quot;"/>
  </numFmts>
  <fonts count="7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6"/>
      <color theme="1"/>
      <name val="Wingdings"/>
      <charset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6"/>
      <name val="Wingdings"/>
      <charset val="2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theme="1"/>
      <name val="Book Antiqua"/>
      <family val="1"/>
    </font>
    <font>
      <b/>
      <sz val="11"/>
      <color rgb="FFFF0000"/>
      <name val="Book Antiqua"/>
      <family val="1"/>
    </font>
    <font>
      <b/>
      <sz val="16"/>
      <color theme="1"/>
      <name val="Book Antiqua"/>
      <family val="1"/>
    </font>
    <font>
      <b/>
      <i/>
      <sz val="10"/>
      <color rgb="FFFF0000"/>
      <name val="Book Antiqua"/>
      <family val="1"/>
    </font>
    <font>
      <b/>
      <sz val="11"/>
      <name val="Book Antiqua"/>
      <family val="1"/>
    </font>
    <font>
      <b/>
      <sz val="11"/>
      <color theme="1"/>
      <name val="Book Antiqua"/>
      <family val="1"/>
    </font>
    <font>
      <b/>
      <i/>
      <sz val="11"/>
      <color rgb="FFFF0000"/>
      <name val="Book Antiqua"/>
      <family val="1"/>
    </font>
    <font>
      <strike/>
      <sz val="11"/>
      <color theme="1"/>
      <name val="Book Antiqua"/>
      <family val="1"/>
    </font>
    <font>
      <sz val="11"/>
      <color rgb="FFFF0000"/>
      <name val="Book Antiqua"/>
      <family val="1"/>
    </font>
    <font>
      <sz val="16"/>
      <color theme="1"/>
      <name val="Book Antiqua"/>
      <family val="1"/>
    </font>
    <font>
      <sz val="11"/>
      <name val="Book Antiqua"/>
      <family val="1"/>
    </font>
    <font>
      <sz val="16"/>
      <name val="Book Antiqua"/>
      <family val="1"/>
    </font>
    <font>
      <i/>
      <sz val="11"/>
      <color theme="1"/>
      <name val="Book Antiqua"/>
      <family val="1"/>
    </font>
    <font>
      <i/>
      <sz val="10"/>
      <color theme="1"/>
      <name val="Book Antiqua"/>
      <family val="1"/>
    </font>
    <font>
      <b/>
      <i/>
      <sz val="11"/>
      <name val="Book Antiqua"/>
      <family val="1"/>
    </font>
    <font>
      <b/>
      <sz val="11"/>
      <color rgb="FF0070C0"/>
      <name val="Book Antiqua"/>
      <family val="1"/>
    </font>
    <font>
      <b/>
      <sz val="16"/>
      <color rgb="FFFF0000"/>
      <name val="Book Antiqua"/>
      <family val="1"/>
    </font>
    <font>
      <b/>
      <sz val="11"/>
      <color rgb="FF00B050"/>
      <name val="Book Antiqua"/>
      <family val="1"/>
    </font>
    <font>
      <b/>
      <i/>
      <sz val="11"/>
      <color theme="1"/>
      <name val="Book Antiqua"/>
      <family val="1"/>
    </font>
    <font>
      <b/>
      <i/>
      <sz val="10"/>
      <name val="Book Antiqua"/>
      <family val="1"/>
    </font>
    <font>
      <b/>
      <i/>
      <sz val="10"/>
      <color theme="1"/>
      <name val="Book Antiqua"/>
      <family val="1"/>
    </font>
    <font>
      <b/>
      <i/>
      <sz val="10"/>
      <color rgb="FF0070C0"/>
      <name val="Book Antiqua"/>
      <family val="1"/>
    </font>
    <font>
      <sz val="10"/>
      <color rgb="FFFF0000"/>
      <name val="Book Antiqua"/>
      <family val="1"/>
    </font>
    <font>
      <u/>
      <sz val="11"/>
      <color theme="10"/>
      <name val="Calibri"/>
      <family val="2"/>
      <scheme val="minor"/>
    </font>
    <font>
      <b/>
      <sz val="14"/>
      <color theme="1"/>
      <name val="Book Antiqua"/>
      <family val="1"/>
    </font>
    <font>
      <b/>
      <u/>
      <sz val="14"/>
      <color theme="10"/>
      <name val="Book Antiqua"/>
      <family val="1"/>
    </font>
    <font>
      <sz val="10"/>
      <color theme="1"/>
      <name val="Book Antiqua"/>
      <family val="1"/>
    </font>
    <font>
      <b/>
      <sz val="10"/>
      <color rgb="FFFF0000"/>
      <name val="Book Antiqua"/>
      <family val="1"/>
    </font>
    <font>
      <b/>
      <sz val="12"/>
      <color theme="1"/>
      <name val="Book Antiqua"/>
      <family val="1"/>
    </font>
    <font>
      <b/>
      <sz val="12"/>
      <color rgb="FFC00000"/>
      <name val="Book Antiqua"/>
      <family val="1"/>
    </font>
    <font>
      <i/>
      <sz val="11"/>
      <color rgb="FFFF0000"/>
      <name val="Calibri"/>
      <family val="2"/>
      <scheme val="minor"/>
    </font>
    <font>
      <b/>
      <u/>
      <sz val="11"/>
      <color theme="1"/>
      <name val="Book Antiqua"/>
      <family val="1"/>
    </font>
    <font>
      <sz val="9"/>
      <color theme="1"/>
      <name val="Book Antiqua"/>
      <family val="1"/>
    </font>
    <font>
      <strike/>
      <sz val="11"/>
      <color rgb="FFFF0000"/>
      <name val="Book Antiqua"/>
      <family val="1"/>
    </font>
    <font>
      <b/>
      <sz val="12"/>
      <name val="Book Antiqua"/>
      <family val="1"/>
    </font>
    <font>
      <sz val="11"/>
      <color rgb="FF00B050"/>
      <name val="Book Antiqua"/>
      <family val="1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36"/>
      <color rgb="FFFF0000"/>
      <name val="Book Antiqua"/>
      <family val="1"/>
    </font>
    <font>
      <sz val="11"/>
      <color rgb="FFFF0000"/>
      <name val="Calibri"/>
      <family val="2"/>
      <scheme val="minor"/>
    </font>
    <font>
      <b/>
      <i/>
      <sz val="11"/>
      <color rgb="FF00B050"/>
      <name val="Book Antiqua"/>
      <family val="1"/>
    </font>
    <font>
      <i/>
      <strike/>
      <sz val="11"/>
      <color theme="1"/>
      <name val="Book Antiqua"/>
      <family val="1"/>
    </font>
    <font>
      <i/>
      <sz val="11"/>
      <color rgb="FFFF0000"/>
      <name val="Book Antiqua"/>
      <family val="1"/>
    </font>
    <font>
      <i/>
      <sz val="11"/>
      <name val="Calibri"/>
      <family val="2"/>
      <scheme val="minor"/>
    </font>
    <font>
      <i/>
      <sz val="11"/>
      <color rgb="FF00B050"/>
      <name val="Book Antiqua"/>
      <family val="1"/>
    </font>
    <font>
      <b/>
      <sz val="10"/>
      <name val="Book Antiqua"/>
      <family val="1"/>
    </font>
    <font>
      <i/>
      <sz val="16"/>
      <color theme="1"/>
      <name val="Book Antiqua"/>
      <family val="1"/>
    </font>
    <font>
      <i/>
      <strike/>
      <sz val="11"/>
      <color rgb="FFFF0000"/>
      <name val="Book Antiqua"/>
      <family val="1"/>
    </font>
    <font>
      <i/>
      <sz val="9"/>
      <color theme="1"/>
      <name val="Book Antiqua"/>
      <family val="1"/>
    </font>
    <font>
      <b/>
      <sz val="10"/>
      <color rgb="FF00B050"/>
      <name val="Book Antiqua"/>
      <family val="1"/>
    </font>
    <font>
      <b/>
      <sz val="12"/>
      <color rgb="FFFF0000"/>
      <name val="Book Antiqua"/>
      <family val="1"/>
    </font>
    <font>
      <b/>
      <i/>
      <sz val="12"/>
      <color rgb="FFFF0000"/>
      <name val="Calibri"/>
      <family val="2"/>
      <scheme val="minor"/>
    </font>
    <font>
      <strike/>
      <sz val="11"/>
      <color rgb="FF00B050"/>
      <name val="Book Antiqua"/>
      <family val="1"/>
    </font>
    <font>
      <i/>
      <strike/>
      <sz val="11"/>
      <color rgb="FF00B050"/>
      <name val="Book Antiqua"/>
      <family val="1"/>
    </font>
    <font>
      <i/>
      <sz val="16"/>
      <color theme="1"/>
      <name val="Calibri Light"/>
      <family val="2"/>
    </font>
    <font>
      <b/>
      <u/>
      <sz val="12"/>
      <color theme="10"/>
      <name val="Book Antiqua"/>
      <family val="1"/>
    </font>
    <font>
      <sz val="9"/>
      <name val="Book Antiqua"/>
      <family val="1"/>
    </font>
    <font>
      <b/>
      <sz val="9"/>
      <name val="Book Antiqua"/>
      <family val="1"/>
    </font>
    <font>
      <b/>
      <sz val="9"/>
      <color theme="1"/>
      <name val="Book Antiqua"/>
      <family val="1"/>
    </font>
    <font>
      <strike/>
      <sz val="9"/>
      <name val="Book Antiqua"/>
      <family val="1"/>
    </font>
    <font>
      <sz val="12"/>
      <color theme="1"/>
      <name val="Book Antiqua"/>
      <family val="1"/>
    </font>
    <font>
      <b/>
      <i/>
      <sz val="12"/>
      <name val="Book Antiqua"/>
      <family val="1"/>
    </font>
    <font>
      <sz val="12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sz val="12"/>
      <color rgb="FFFF0000"/>
      <name val="Book Antiqua"/>
      <family val="1"/>
    </font>
    <font>
      <i/>
      <sz val="12"/>
      <color theme="1"/>
      <name val="Book Antiqua"/>
      <family val="1"/>
    </font>
    <font>
      <b/>
      <i/>
      <sz val="12"/>
      <color rgb="FF00B050"/>
      <name val="Book Antiqua"/>
      <family val="1"/>
    </font>
    <font>
      <strike/>
      <sz val="12"/>
      <color rgb="FFFF0000"/>
      <name val="Book Antiqua"/>
      <family val="1"/>
    </font>
  </fonts>
  <fills count="1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 style="medium">
        <color rgb="FFFF0000"/>
      </diagonal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medium">
        <color rgb="FFFF0000"/>
      </left>
      <right style="medium">
        <color rgb="FFFF0000"/>
      </right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 diagonalUp="1" diagonalDown="1">
      <left style="thin">
        <color indexed="64"/>
      </left>
      <right/>
      <top style="thin">
        <color indexed="64"/>
      </top>
      <bottom style="thin">
        <color indexed="64"/>
      </bottom>
      <diagonal style="medium">
        <color rgb="FFFF0000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/>
      <diagonal style="medium">
        <color rgb="FFFF0000"/>
      </diagonal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medium">
        <color rgb="FFFF0000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medium">
        <color rgb="FFFF0000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medium">
        <color indexed="64"/>
      </diagonal>
    </border>
    <border diagonalUp="1" diagonalDown="1">
      <left style="medium">
        <color indexed="64"/>
      </left>
      <right style="medium">
        <color indexed="64"/>
      </right>
      <top style="thin">
        <color indexed="64"/>
      </top>
      <bottom/>
      <diagonal style="thin">
        <color auto="1"/>
      </diagonal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/>
      <right style="thin">
        <color indexed="64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 diagonalUp="1" diagonalDown="1">
      <left style="medium">
        <color rgb="FFFF0000"/>
      </left>
      <right style="medium">
        <color rgb="FFFF0000"/>
      </right>
      <top style="thin">
        <color indexed="64"/>
      </top>
      <bottom/>
      <diagonal style="medium">
        <color rgb="FFFF0000"/>
      </diagonal>
    </border>
    <border>
      <left style="medium">
        <color auto="1"/>
      </left>
      <right style="medium">
        <color auto="1"/>
      </right>
      <top style="medium">
        <color rgb="FFFF0000"/>
      </top>
      <bottom/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2">
    <xf numFmtId="0" fontId="0" fillId="0" borderId="0"/>
    <xf numFmtId="0" fontId="33" fillId="0" borderId="0" applyNumberFormat="0" applyFill="0" applyBorder="0" applyAlignment="0" applyProtection="0"/>
  </cellStyleXfs>
  <cellXfs count="498">
    <xf numFmtId="0" fontId="0" fillId="0" borderId="0" xfId="0"/>
    <xf numFmtId="0" fontId="4" fillId="0" borderId="6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/>
    <xf numFmtId="164" fontId="11" fillId="0" borderId="0" xfId="0" applyNumberFormat="1" applyFont="1" applyAlignment="1">
      <alignment horizontal="right"/>
    </xf>
    <xf numFmtId="165" fontId="10" fillId="0" borderId="0" xfId="0" applyNumberFormat="1" applyFont="1" applyAlignment="1">
      <alignment horizontal="right"/>
    </xf>
    <xf numFmtId="0" fontId="10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8" fillId="0" borderId="9" xfId="0" applyFont="1" applyBorder="1" applyAlignment="1">
      <alignment horizontal="center" vertical="center"/>
    </xf>
    <xf numFmtId="0" fontId="10" fillId="0" borderId="5" xfId="0" applyFont="1" applyBorder="1" applyAlignment="1">
      <alignment vertical="center"/>
    </xf>
    <xf numFmtId="0" fontId="10" fillId="0" borderId="6" xfId="0" applyFont="1" applyBorder="1" applyAlignment="1">
      <alignment horizontal="left" vertical="center"/>
    </xf>
    <xf numFmtId="0" fontId="19" fillId="0" borderId="6" xfId="0" applyFont="1" applyBorder="1" applyAlignment="1">
      <alignment horizontal="center" vertical="center"/>
    </xf>
    <xf numFmtId="164" fontId="18" fillId="0" borderId="8" xfId="0" quotePrefix="1" applyNumberFormat="1" applyFont="1" applyBorder="1" applyAlignment="1">
      <alignment horizontal="right" vertical="center"/>
    </xf>
    <xf numFmtId="165" fontId="10" fillId="0" borderId="8" xfId="0" applyNumberFormat="1" applyFont="1" applyBorder="1" applyAlignment="1">
      <alignment horizontal="right" vertical="center"/>
    </xf>
    <xf numFmtId="0" fontId="19" fillId="0" borderId="5" xfId="0" applyFont="1" applyBorder="1" applyAlignment="1">
      <alignment horizontal="center" vertical="center"/>
    </xf>
    <xf numFmtId="0" fontId="20" fillId="0" borderId="5" xfId="0" applyFont="1" applyBorder="1" applyAlignment="1">
      <alignment vertical="center"/>
    </xf>
    <xf numFmtId="0" fontId="21" fillId="0" borderId="10" xfId="0" applyFont="1" applyBorder="1" applyAlignment="1">
      <alignment horizontal="center" vertical="center"/>
    </xf>
    <xf numFmtId="164" fontId="18" fillId="0" borderId="8" xfId="0" applyNumberFormat="1" applyFont="1" applyBorder="1" applyAlignment="1">
      <alignment horizontal="right" vertical="center"/>
    </xf>
    <xf numFmtId="0" fontId="18" fillId="0" borderId="11" xfId="0" applyFont="1" applyBorder="1" applyAlignment="1">
      <alignment horizontal="center" vertical="center"/>
    </xf>
    <xf numFmtId="0" fontId="10" fillId="0" borderId="13" xfId="0" applyFont="1" applyBorder="1" applyAlignment="1">
      <alignment horizontal="left" vertical="center"/>
    </xf>
    <xf numFmtId="0" fontId="19" fillId="0" borderId="14" xfId="0" applyFont="1" applyBorder="1" applyAlignment="1">
      <alignment horizontal="center" vertical="center"/>
    </xf>
    <xf numFmtId="164" fontId="18" fillId="0" borderId="15" xfId="0" applyNumberFormat="1" applyFont="1" applyBorder="1" applyAlignment="1">
      <alignment horizontal="right" vertical="center"/>
    </xf>
    <xf numFmtId="165" fontId="10" fillId="0" borderId="15" xfId="0" applyNumberFormat="1" applyFont="1" applyBorder="1" applyAlignment="1">
      <alignment horizontal="right" vertical="center"/>
    </xf>
    <xf numFmtId="165" fontId="10" fillId="0" borderId="8" xfId="0" quotePrefix="1" applyNumberFormat="1" applyFont="1" applyBorder="1" applyAlignment="1">
      <alignment horizontal="right" vertical="center"/>
    </xf>
    <xf numFmtId="0" fontId="22" fillId="0" borderId="0" xfId="0" applyFont="1" applyAlignment="1">
      <alignment vertical="center"/>
    </xf>
    <xf numFmtId="165" fontId="22" fillId="0" borderId="8" xfId="0" quotePrefix="1" applyNumberFormat="1" applyFont="1" applyBorder="1" applyAlignment="1">
      <alignment horizontal="right" vertical="center"/>
    </xf>
    <xf numFmtId="0" fontId="24" fillId="0" borderId="0" xfId="0" applyFont="1"/>
    <xf numFmtId="0" fontId="29" fillId="0" borderId="0" xfId="0" applyFont="1"/>
    <xf numFmtId="3" fontId="18" fillId="0" borderId="0" xfId="0" applyNumberFormat="1" applyFont="1" applyAlignment="1">
      <alignment horizontal="center"/>
    </xf>
    <xf numFmtId="0" fontId="10" fillId="3" borderId="0" xfId="0" applyFont="1" applyFill="1" applyAlignment="1">
      <alignment horizontal="center" vertical="center"/>
    </xf>
    <xf numFmtId="0" fontId="10" fillId="3" borderId="0" xfId="0" applyFont="1" applyFill="1"/>
    <xf numFmtId="0" fontId="18" fillId="3" borderId="0" xfId="0" applyFont="1" applyFill="1"/>
    <xf numFmtId="0" fontId="17" fillId="0" borderId="12" xfId="0" applyFont="1" applyBorder="1" applyAlignment="1">
      <alignment vertical="center"/>
    </xf>
    <xf numFmtId="0" fontId="10" fillId="4" borderId="0" xfId="0" applyFont="1" applyFill="1" applyAlignment="1">
      <alignment horizontal="center"/>
    </xf>
    <xf numFmtId="0" fontId="10" fillId="4" borderId="0" xfId="0" applyFont="1" applyFill="1"/>
    <xf numFmtId="4" fontId="11" fillId="4" borderId="0" xfId="0" applyNumberFormat="1" applyFont="1" applyFill="1" applyAlignment="1">
      <alignment horizontal="center" vertical="center"/>
    </xf>
    <xf numFmtId="164" fontId="11" fillId="4" borderId="0" xfId="0" applyNumberFormat="1" applyFont="1" applyFill="1" applyAlignment="1">
      <alignment horizontal="right"/>
    </xf>
    <xf numFmtId="165" fontId="10" fillId="4" borderId="0" xfId="0" applyNumberFormat="1" applyFont="1" applyFill="1" applyAlignment="1">
      <alignment horizontal="right"/>
    </xf>
    <xf numFmtId="0" fontId="10" fillId="4" borderId="0" xfId="0" applyFont="1" applyFill="1" applyAlignment="1">
      <alignment vertical="center"/>
    </xf>
    <xf numFmtId="0" fontId="13" fillId="4" borderId="0" xfId="0" applyFont="1" applyFill="1" applyAlignment="1">
      <alignment horizontal="left" wrapText="1"/>
    </xf>
    <xf numFmtId="0" fontId="15" fillId="4" borderId="0" xfId="0" applyFont="1" applyFill="1" applyAlignment="1">
      <alignment horizontal="center" vertical="center" wrapText="1"/>
    </xf>
    <xf numFmtId="0" fontId="12" fillId="4" borderId="0" xfId="0" applyFont="1" applyFill="1" applyAlignment="1">
      <alignment vertical="center" wrapText="1"/>
    </xf>
    <xf numFmtId="0" fontId="13" fillId="4" borderId="0" xfId="0" applyFont="1" applyFill="1" applyAlignment="1">
      <alignment horizontal="left" vertical="top" wrapText="1"/>
    </xf>
    <xf numFmtId="0" fontId="17" fillId="4" borderId="0" xfId="0" applyFont="1" applyFill="1" applyAlignment="1">
      <alignment vertical="center"/>
    </xf>
    <xf numFmtId="0" fontId="22" fillId="4" borderId="0" xfId="0" applyFont="1" applyFill="1" applyAlignment="1">
      <alignment vertical="center"/>
    </xf>
    <xf numFmtId="0" fontId="24" fillId="4" borderId="0" xfId="0" applyFont="1" applyFill="1"/>
    <xf numFmtId="0" fontId="29" fillId="4" borderId="0" xfId="0" applyFont="1" applyFill="1"/>
    <xf numFmtId="0" fontId="36" fillId="4" borderId="0" xfId="0" applyFont="1" applyFill="1"/>
    <xf numFmtId="3" fontId="18" fillId="4" borderId="0" xfId="0" applyNumberFormat="1" applyFont="1" applyFill="1" applyAlignment="1">
      <alignment horizontal="center"/>
    </xf>
    <xf numFmtId="3" fontId="14" fillId="4" borderId="0" xfId="0" applyNumberFormat="1" applyFont="1" applyFill="1" applyAlignment="1">
      <alignment horizontal="center"/>
    </xf>
    <xf numFmtId="168" fontId="10" fillId="4" borderId="0" xfId="0" applyNumberFormat="1" applyFont="1" applyFill="1"/>
    <xf numFmtId="3" fontId="26" fillId="4" borderId="0" xfId="0" applyNumberFormat="1" applyFont="1" applyFill="1" applyAlignment="1">
      <alignment horizontal="center" vertical="center"/>
    </xf>
    <xf numFmtId="164" fontId="15" fillId="4" borderId="0" xfId="0" applyNumberFormat="1" applyFont="1" applyFill="1" applyAlignment="1">
      <alignment vertical="center"/>
    </xf>
    <xf numFmtId="164" fontId="10" fillId="4" borderId="0" xfId="0" applyNumberFormat="1" applyFont="1" applyFill="1" applyAlignment="1">
      <alignment horizontal="center" vertical="center"/>
    </xf>
    <xf numFmtId="164" fontId="11" fillId="4" borderId="0" xfId="0" applyNumberFormat="1" applyFont="1" applyFill="1" applyAlignment="1">
      <alignment horizontal="right" vertical="center"/>
    </xf>
    <xf numFmtId="165" fontId="15" fillId="4" borderId="0" xfId="0" applyNumberFormat="1" applyFont="1" applyFill="1" applyAlignment="1">
      <alignment horizontal="right" vertical="center"/>
    </xf>
    <xf numFmtId="0" fontId="36" fillId="4" borderId="0" xfId="0" applyFont="1" applyFill="1" applyAlignment="1">
      <alignment horizontal="center"/>
    </xf>
    <xf numFmtId="3" fontId="32" fillId="4" borderId="0" xfId="0" applyNumberFormat="1" applyFont="1" applyFill="1" applyAlignment="1">
      <alignment horizontal="left"/>
    </xf>
    <xf numFmtId="164" fontId="37" fillId="4" borderId="0" xfId="0" applyNumberFormat="1" applyFont="1" applyFill="1" applyAlignment="1">
      <alignment horizontal="right"/>
    </xf>
    <xf numFmtId="165" fontId="36" fillId="4" borderId="0" xfId="0" applyNumberFormat="1" applyFont="1" applyFill="1" applyAlignment="1">
      <alignment horizontal="right"/>
    </xf>
    <xf numFmtId="3" fontId="18" fillId="4" borderId="1" xfId="0" applyNumberFormat="1" applyFont="1" applyFill="1" applyBorder="1" applyAlignment="1">
      <alignment horizontal="center"/>
    </xf>
    <xf numFmtId="166" fontId="10" fillId="4" borderId="0" xfId="0" applyNumberFormat="1" applyFont="1" applyFill="1"/>
    <xf numFmtId="167" fontId="10" fillId="4" borderId="0" xfId="0" applyNumberFormat="1" applyFont="1" applyFill="1"/>
    <xf numFmtId="3" fontId="14" fillId="4" borderId="0" xfId="0" applyNumberFormat="1" applyFont="1" applyFill="1" applyAlignment="1">
      <alignment horizontal="left"/>
    </xf>
    <xf numFmtId="0" fontId="14" fillId="4" borderId="0" xfId="0" applyFont="1" applyFill="1" applyAlignment="1">
      <alignment horizontal="center"/>
    </xf>
    <xf numFmtId="166" fontId="14" fillId="4" borderId="0" xfId="0" applyNumberFormat="1" applyFont="1" applyFill="1" applyAlignment="1">
      <alignment horizontal="center"/>
    </xf>
    <xf numFmtId="164" fontId="16" fillId="4" borderId="0" xfId="0" applyNumberFormat="1" applyFont="1" applyFill="1" applyAlignment="1">
      <alignment horizontal="right"/>
    </xf>
    <xf numFmtId="165" fontId="22" fillId="4" borderId="0" xfId="0" applyNumberFormat="1" applyFont="1" applyFill="1" applyAlignment="1">
      <alignment horizontal="right"/>
    </xf>
    <xf numFmtId="164" fontId="13" fillId="4" borderId="0" xfId="0" applyNumberFormat="1" applyFont="1" applyFill="1" applyAlignment="1">
      <alignment horizontal="right"/>
    </xf>
    <xf numFmtId="165" fontId="23" fillId="4" borderId="0" xfId="0" applyNumberFormat="1" applyFont="1" applyFill="1" applyAlignment="1">
      <alignment horizontal="right"/>
    </xf>
    <xf numFmtId="0" fontId="14" fillId="6" borderId="2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0" fillId="6" borderId="3" xfId="0" applyFont="1" applyFill="1" applyBorder="1"/>
    <xf numFmtId="0" fontId="10" fillId="6" borderId="3" xfId="0" applyFont="1" applyFill="1" applyBorder="1" applyAlignment="1">
      <alignment horizontal="center"/>
    </xf>
    <xf numFmtId="164" fontId="15" fillId="6" borderId="5" xfId="0" applyNumberFormat="1" applyFont="1" applyFill="1" applyBorder="1" applyAlignment="1">
      <alignment horizontal="center" vertical="center"/>
    </xf>
    <xf numFmtId="164" fontId="15" fillId="6" borderId="6" xfId="0" applyNumberFormat="1" applyFont="1" applyFill="1" applyBorder="1" applyAlignment="1">
      <alignment horizontal="center" vertical="center"/>
    </xf>
    <xf numFmtId="164" fontId="15" fillId="6" borderId="7" xfId="0" applyNumberFormat="1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 wrapText="1"/>
    </xf>
    <xf numFmtId="0" fontId="15" fillId="6" borderId="6" xfId="0" applyFont="1" applyFill="1" applyBorder="1" applyAlignment="1">
      <alignment horizontal="center" vertical="center"/>
    </xf>
    <xf numFmtId="164" fontId="11" fillId="6" borderId="8" xfId="0" applyNumberFormat="1" applyFont="1" applyFill="1" applyBorder="1" applyAlignment="1">
      <alignment horizontal="center" vertical="center" wrapText="1"/>
    </xf>
    <xf numFmtId="165" fontId="15" fillId="6" borderId="8" xfId="0" applyNumberFormat="1" applyFont="1" applyFill="1" applyBorder="1" applyAlignment="1">
      <alignment horizontal="center" vertical="center" wrapText="1"/>
    </xf>
    <xf numFmtId="164" fontId="15" fillId="6" borderId="20" xfId="0" applyNumberFormat="1" applyFont="1" applyFill="1" applyBorder="1" applyAlignment="1">
      <alignment horizontal="left" vertical="center"/>
    </xf>
    <xf numFmtId="164" fontId="15" fillId="6" borderId="21" xfId="0" applyNumberFormat="1" applyFont="1" applyFill="1" applyBorder="1" applyAlignment="1">
      <alignment horizontal="left" vertical="center"/>
    </xf>
    <xf numFmtId="164" fontId="18" fillId="6" borderId="22" xfId="0" applyNumberFormat="1" applyFont="1" applyFill="1" applyBorder="1" applyAlignment="1">
      <alignment horizontal="center" vertical="center"/>
    </xf>
    <xf numFmtId="164" fontId="20" fillId="6" borderId="23" xfId="0" applyNumberFormat="1" applyFont="1" applyFill="1" applyBorder="1" applyAlignment="1">
      <alignment horizontal="center" vertical="center"/>
    </xf>
    <xf numFmtId="164" fontId="15" fillId="6" borderId="25" xfId="0" applyNumberFormat="1" applyFont="1" applyFill="1" applyBorder="1" applyAlignment="1">
      <alignment horizontal="left" vertical="center"/>
    </xf>
    <xf numFmtId="164" fontId="15" fillId="6" borderId="26" xfId="0" applyNumberFormat="1" applyFont="1" applyFill="1" applyBorder="1" applyAlignment="1">
      <alignment horizontal="left" vertical="center"/>
    </xf>
    <xf numFmtId="164" fontId="18" fillId="6" borderId="18" xfId="0" applyNumberFormat="1" applyFont="1" applyFill="1" applyBorder="1" applyAlignment="1">
      <alignment horizontal="center" vertical="center"/>
    </xf>
    <xf numFmtId="164" fontId="28" fillId="6" borderId="29" xfId="0" applyNumberFormat="1" applyFont="1" applyFill="1" applyBorder="1" applyAlignment="1">
      <alignment vertical="center"/>
    </xf>
    <xf numFmtId="164" fontId="28" fillId="6" borderId="30" xfId="0" applyNumberFormat="1" applyFont="1" applyFill="1" applyBorder="1" applyAlignment="1">
      <alignment vertical="center"/>
    </xf>
    <xf numFmtId="164" fontId="30" fillId="6" borderId="32" xfId="0" applyNumberFormat="1" applyFont="1" applyFill="1" applyBorder="1" applyAlignment="1">
      <alignment vertical="center"/>
    </xf>
    <xf numFmtId="164" fontId="30" fillId="6" borderId="33" xfId="0" applyNumberFormat="1" applyFont="1" applyFill="1" applyBorder="1" applyAlignment="1">
      <alignment vertical="center"/>
    </xf>
    <xf numFmtId="164" fontId="23" fillId="6" borderId="18" xfId="0" applyNumberFormat="1" applyFont="1" applyFill="1" applyBorder="1" applyAlignment="1">
      <alignment horizontal="center" vertical="center"/>
    </xf>
    <xf numFmtId="164" fontId="23" fillId="6" borderId="27" xfId="0" applyNumberFormat="1" applyFont="1" applyFill="1" applyBorder="1" applyAlignment="1">
      <alignment horizontal="center" vertical="center"/>
    </xf>
    <xf numFmtId="164" fontId="30" fillId="6" borderId="29" xfId="0" applyNumberFormat="1" applyFont="1" applyFill="1" applyBorder="1" applyAlignment="1">
      <alignment vertical="center"/>
    </xf>
    <xf numFmtId="164" fontId="30" fillId="6" borderId="30" xfId="0" applyNumberFormat="1" applyFont="1" applyFill="1" applyBorder="1" applyAlignment="1">
      <alignment vertical="center"/>
    </xf>
    <xf numFmtId="164" fontId="23" fillId="6" borderId="22" xfId="0" applyNumberFormat="1" applyFont="1" applyFill="1" applyBorder="1" applyAlignment="1">
      <alignment horizontal="center" vertical="center"/>
    </xf>
    <xf numFmtId="164" fontId="23" fillId="6" borderId="23" xfId="0" applyNumberFormat="1" applyFont="1" applyFill="1" applyBorder="1" applyAlignment="1">
      <alignment horizontal="center" vertical="center"/>
    </xf>
    <xf numFmtId="0" fontId="18" fillId="7" borderId="9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vertical="center"/>
    </xf>
    <xf numFmtId="0" fontId="10" fillId="7" borderId="6" xfId="0" applyFont="1" applyFill="1" applyBorder="1" applyAlignment="1">
      <alignment horizontal="left" vertical="center"/>
    </xf>
    <xf numFmtId="0" fontId="4" fillId="7" borderId="6" xfId="0" applyFont="1" applyFill="1" applyBorder="1" applyAlignment="1">
      <alignment horizontal="center" vertical="center"/>
    </xf>
    <xf numFmtId="164" fontId="15" fillId="6" borderId="5" xfId="0" applyNumberFormat="1" applyFont="1" applyFill="1" applyBorder="1" applyAlignment="1">
      <alignment horizontal="center" vertical="center" wrapText="1"/>
    </xf>
    <xf numFmtId="164" fontId="15" fillId="6" borderId="6" xfId="0" applyNumberFormat="1" applyFont="1" applyFill="1" applyBorder="1" applyAlignment="1">
      <alignment horizontal="center" vertical="center" wrapText="1"/>
    </xf>
    <xf numFmtId="164" fontId="15" fillId="6" borderId="7" xfId="0" applyNumberFormat="1" applyFont="1" applyFill="1" applyBorder="1" applyAlignment="1">
      <alignment horizontal="center" vertical="center" wrapText="1"/>
    </xf>
    <xf numFmtId="164" fontId="15" fillId="6" borderId="38" xfId="0" applyNumberFormat="1" applyFont="1" applyFill="1" applyBorder="1" applyAlignment="1">
      <alignment vertical="center"/>
    </xf>
    <xf numFmtId="3" fontId="14" fillId="6" borderId="31" xfId="0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/>
    </xf>
    <xf numFmtId="0" fontId="15" fillId="6" borderId="5" xfId="0" applyFont="1" applyFill="1" applyBorder="1" applyAlignment="1">
      <alignment horizontal="center" vertical="center"/>
    </xf>
    <xf numFmtId="0" fontId="18" fillId="8" borderId="9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vertical="center"/>
    </xf>
    <xf numFmtId="0" fontId="10" fillId="8" borderId="6" xfId="0" applyFont="1" applyFill="1" applyBorder="1" applyAlignment="1">
      <alignment horizontal="left" vertical="center"/>
    </xf>
    <xf numFmtId="0" fontId="10" fillId="8" borderId="6" xfId="0" applyFont="1" applyFill="1" applyBorder="1" applyAlignment="1">
      <alignment vertical="center"/>
    </xf>
    <xf numFmtId="0" fontId="18" fillId="8" borderId="16" xfId="0" applyFont="1" applyFill="1" applyBorder="1" applyAlignment="1">
      <alignment horizontal="center" vertical="center"/>
    </xf>
    <xf numFmtId="0" fontId="18" fillId="8" borderId="17" xfId="0" applyFont="1" applyFill="1" applyBorder="1" applyAlignment="1">
      <alignment horizontal="center" vertical="center"/>
    </xf>
    <xf numFmtId="0" fontId="19" fillId="8" borderId="5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" vertical="center"/>
    </xf>
    <xf numFmtId="165" fontId="15" fillId="6" borderId="39" xfId="0" applyNumberFormat="1" applyFont="1" applyFill="1" applyBorder="1" applyAlignment="1">
      <alignment horizontal="center" vertical="center"/>
    </xf>
    <xf numFmtId="164" fontId="15" fillId="6" borderId="39" xfId="0" applyNumberFormat="1" applyFont="1" applyFill="1" applyBorder="1" applyAlignment="1">
      <alignment horizontal="center" vertical="center"/>
    </xf>
    <xf numFmtId="164" fontId="15" fillId="6" borderId="40" xfId="0" applyNumberFormat="1" applyFont="1" applyFill="1" applyBorder="1" applyAlignment="1">
      <alignment horizontal="center" vertical="center"/>
    </xf>
    <xf numFmtId="164" fontId="15" fillId="6" borderId="38" xfId="0" applyNumberFormat="1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/>
    </xf>
    <xf numFmtId="0" fontId="0" fillId="3" borderId="0" xfId="0" applyFill="1" applyAlignment="1">
      <alignment horizontal="left"/>
    </xf>
    <xf numFmtId="3" fontId="9" fillId="3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0" fontId="22" fillId="3" borderId="0" xfId="0" applyFont="1" applyFill="1" applyAlignment="1">
      <alignment vertical="center"/>
    </xf>
    <xf numFmtId="0" fontId="24" fillId="3" borderId="0" xfId="0" applyFont="1" applyFill="1"/>
    <xf numFmtId="0" fontId="29" fillId="3" borderId="0" xfId="0" applyFont="1" applyFill="1"/>
    <xf numFmtId="0" fontId="36" fillId="3" borderId="0" xfId="0" applyFont="1" applyFill="1"/>
    <xf numFmtId="165" fontId="0" fillId="3" borderId="0" xfId="0" applyNumberFormat="1" applyFill="1"/>
    <xf numFmtId="3" fontId="10" fillId="3" borderId="0" xfId="0" applyNumberFormat="1" applyFont="1" applyFill="1" applyAlignment="1">
      <alignment horizontal="center"/>
    </xf>
    <xf numFmtId="3" fontId="10" fillId="3" borderId="0" xfId="0" applyNumberFormat="1" applyFont="1" applyFill="1" applyAlignment="1">
      <alignment horizontal="center" vertical="center"/>
    </xf>
    <xf numFmtId="3" fontId="24" fillId="3" borderId="0" xfId="0" applyNumberFormat="1" applyFont="1" applyFill="1" applyAlignment="1">
      <alignment horizontal="center"/>
    </xf>
    <xf numFmtId="3" fontId="29" fillId="3" borderId="0" xfId="0" applyNumberFormat="1" applyFont="1" applyFill="1" applyAlignment="1">
      <alignment horizontal="center"/>
    </xf>
    <xf numFmtId="3" fontId="36" fillId="3" borderId="0" xfId="0" applyNumberFormat="1" applyFont="1" applyFill="1" applyAlignment="1">
      <alignment horizontal="center"/>
    </xf>
    <xf numFmtId="3" fontId="10" fillId="4" borderId="0" xfId="0" applyNumberFormat="1" applyFont="1" applyFill="1" applyAlignment="1">
      <alignment horizontal="center"/>
    </xf>
    <xf numFmtId="3" fontId="15" fillId="3" borderId="0" xfId="0" applyNumberFormat="1" applyFont="1" applyFill="1" applyAlignment="1">
      <alignment horizontal="center"/>
    </xf>
    <xf numFmtId="3" fontId="17" fillId="3" borderId="0" xfId="0" applyNumberFormat="1" applyFont="1" applyFill="1" applyAlignment="1">
      <alignment horizontal="center"/>
    </xf>
    <xf numFmtId="164" fontId="18" fillId="0" borderId="15" xfId="0" quotePrefix="1" applyNumberFormat="1" applyFont="1" applyBorder="1" applyAlignment="1">
      <alignment horizontal="right" vertical="center"/>
    </xf>
    <xf numFmtId="0" fontId="10" fillId="6" borderId="3" xfId="0" applyFont="1" applyFill="1" applyBorder="1" applyAlignment="1">
      <alignment horizontal="center" vertical="center"/>
    </xf>
    <xf numFmtId="0" fontId="10" fillId="6" borderId="43" xfId="0" applyFont="1" applyFill="1" applyBorder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10" fillId="6" borderId="42" xfId="0" applyFont="1" applyFill="1" applyBorder="1" applyAlignment="1">
      <alignment horizontal="center" vertical="center"/>
    </xf>
    <xf numFmtId="165" fontId="10" fillId="4" borderId="0" xfId="0" applyNumberFormat="1" applyFont="1" applyFill="1" applyAlignment="1">
      <alignment horizontal="center" vertical="center"/>
    </xf>
    <xf numFmtId="0" fontId="11" fillId="6" borderId="45" xfId="0" applyFont="1" applyFill="1" applyBorder="1" applyAlignment="1">
      <alignment horizontal="center" vertical="center" wrapText="1"/>
    </xf>
    <xf numFmtId="0" fontId="11" fillId="6" borderId="46" xfId="0" applyFont="1" applyFill="1" applyBorder="1" applyAlignment="1">
      <alignment horizontal="center"/>
    </xf>
    <xf numFmtId="164" fontId="15" fillId="6" borderId="44" xfId="0" applyNumberFormat="1" applyFont="1" applyFill="1" applyBorder="1" applyAlignment="1">
      <alignment horizontal="center" vertical="center"/>
    </xf>
    <xf numFmtId="0" fontId="19" fillId="7" borderId="48" xfId="0" applyFont="1" applyFill="1" applyBorder="1" applyAlignment="1">
      <alignment horizontal="center" vertical="center"/>
    </xf>
    <xf numFmtId="0" fontId="4" fillId="7" borderId="48" xfId="0" applyFont="1" applyFill="1" applyBorder="1" applyAlignment="1">
      <alignment horizontal="center" vertical="center"/>
    </xf>
    <xf numFmtId="165" fontId="10" fillId="0" borderId="49" xfId="0" applyNumberFormat="1" applyFont="1" applyBorder="1" applyAlignment="1">
      <alignment horizontal="right" vertical="center"/>
    </xf>
    <xf numFmtId="165" fontId="15" fillId="6" borderId="1" xfId="0" applyNumberFormat="1" applyFont="1" applyFill="1" applyBorder="1" applyAlignment="1">
      <alignment horizontal="right" vertical="center"/>
    </xf>
    <xf numFmtId="0" fontId="10" fillId="8" borderId="50" xfId="0" applyFont="1" applyFill="1" applyBorder="1" applyAlignment="1">
      <alignment vertical="center"/>
    </xf>
    <xf numFmtId="0" fontId="10" fillId="8" borderId="51" xfId="0" applyFont="1" applyFill="1" applyBorder="1" applyAlignment="1">
      <alignment horizontal="left" vertical="center"/>
    </xf>
    <xf numFmtId="0" fontId="19" fillId="8" borderId="52" xfId="0" applyFont="1" applyFill="1" applyBorder="1" applyAlignment="1">
      <alignment horizontal="center" vertical="center"/>
    </xf>
    <xf numFmtId="0" fontId="4" fillId="8" borderId="52" xfId="0" applyFont="1" applyFill="1" applyBorder="1" applyAlignment="1">
      <alignment horizontal="center" vertical="center"/>
    </xf>
    <xf numFmtId="165" fontId="22" fillId="0" borderId="8" xfId="0" applyNumberFormat="1" applyFont="1" applyBorder="1" applyAlignment="1">
      <alignment horizontal="right" vertical="center"/>
    </xf>
    <xf numFmtId="164" fontId="15" fillId="6" borderId="54" xfId="0" applyNumberFormat="1" applyFont="1" applyFill="1" applyBorder="1" applyAlignment="1">
      <alignment horizontal="left" vertical="center"/>
    </xf>
    <xf numFmtId="164" fontId="15" fillId="6" borderId="24" xfId="0" applyNumberFormat="1" applyFont="1" applyFill="1" applyBorder="1" applyAlignment="1">
      <alignment horizontal="left" vertical="center"/>
    </xf>
    <xf numFmtId="164" fontId="18" fillId="6" borderId="6" xfId="0" applyNumberFormat="1" applyFont="1" applyFill="1" applyBorder="1" applyAlignment="1">
      <alignment horizontal="center" vertical="center"/>
    </xf>
    <xf numFmtId="164" fontId="20" fillId="6" borderId="55" xfId="0" applyNumberFormat="1" applyFont="1" applyFill="1" applyBorder="1" applyAlignment="1">
      <alignment horizontal="center" vertical="center"/>
    </xf>
    <xf numFmtId="165" fontId="17" fillId="7" borderId="8" xfId="0" quotePrefix="1" applyNumberFormat="1" applyFont="1" applyFill="1" applyBorder="1" applyAlignment="1">
      <alignment horizontal="right" vertical="center"/>
    </xf>
    <xf numFmtId="164" fontId="43" fillId="7" borderId="8" xfId="0" quotePrefix="1" applyNumberFormat="1" applyFont="1" applyFill="1" applyBorder="1" applyAlignment="1">
      <alignment horizontal="right" vertical="center"/>
    </xf>
    <xf numFmtId="165" fontId="18" fillId="8" borderId="8" xfId="0" applyNumberFormat="1" applyFont="1" applyFill="1" applyBorder="1" applyAlignment="1">
      <alignment horizontal="right" vertical="center"/>
    </xf>
    <xf numFmtId="165" fontId="11" fillId="8" borderId="8" xfId="0" applyNumberFormat="1" applyFont="1" applyFill="1" applyBorder="1" applyAlignment="1">
      <alignment horizontal="right" vertical="center"/>
    </xf>
    <xf numFmtId="165" fontId="11" fillId="8" borderId="53" xfId="0" applyNumberFormat="1" applyFont="1" applyFill="1" applyBorder="1" applyAlignment="1">
      <alignment horizontal="right" vertical="center"/>
    </xf>
    <xf numFmtId="165" fontId="10" fillId="8" borderId="8" xfId="0" quotePrefix="1" applyNumberFormat="1" applyFont="1" applyFill="1" applyBorder="1" applyAlignment="1">
      <alignment horizontal="right" vertical="center"/>
    </xf>
    <xf numFmtId="165" fontId="22" fillId="8" borderId="8" xfId="0" quotePrefix="1" applyNumberFormat="1" applyFont="1" applyFill="1" applyBorder="1" applyAlignment="1">
      <alignment horizontal="right" vertical="center"/>
    </xf>
    <xf numFmtId="165" fontId="10" fillId="8" borderId="8" xfId="0" applyNumberFormat="1" applyFont="1" applyFill="1" applyBorder="1" applyAlignment="1">
      <alignment horizontal="right" vertical="center"/>
    </xf>
    <xf numFmtId="165" fontId="10" fillId="8" borderId="53" xfId="0" quotePrefix="1" applyNumberFormat="1" applyFont="1" applyFill="1" applyBorder="1" applyAlignment="1">
      <alignment horizontal="right" vertical="center"/>
    </xf>
    <xf numFmtId="0" fontId="24" fillId="6" borderId="6" xfId="0" applyFont="1" applyFill="1" applyBorder="1" applyAlignment="1">
      <alignment horizontal="right" vertical="center"/>
    </xf>
    <xf numFmtId="0" fontId="14" fillId="6" borderId="6" xfId="0" applyFont="1" applyFill="1" applyBorder="1" applyAlignment="1">
      <alignment horizontal="right" vertical="center"/>
    </xf>
    <xf numFmtId="4" fontId="44" fillId="4" borderId="0" xfId="0" applyNumberFormat="1" applyFont="1" applyFill="1" applyAlignment="1">
      <alignment horizontal="center" vertical="center" wrapText="1"/>
    </xf>
    <xf numFmtId="4" fontId="44" fillId="4" borderId="0" xfId="0" applyNumberFormat="1" applyFont="1" applyFill="1" applyAlignment="1">
      <alignment horizontal="center" vertical="center"/>
    </xf>
    <xf numFmtId="14" fontId="45" fillId="4" borderId="0" xfId="0" applyNumberFormat="1" applyFont="1" applyFill="1" applyAlignment="1">
      <alignment horizontal="center"/>
    </xf>
    <xf numFmtId="165" fontId="45" fillId="4" borderId="0" xfId="0" applyNumberFormat="1" applyFont="1" applyFill="1" applyAlignment="1">
      <alignment horizontal="right"/>
    </xf>
    <xf numFmtId="0" fontId="45" fillId="4" borderId="0" xfId="0" applyFont="1" applyFill="1"/>
    <xf numFmtId="0" fontId="9" fillId="3" borderId="0" xfId="0" applyFont="1" applyFill="1"/>
    <xf numFmtId="0" fontId="18" fillId="0" borderId="57" xfId="0" applyFont="1" applyBorder="1" applyAlignment="1">
      <alignment horizontal="center" vertical="center"/>
    </xf>
    <xf numFmtId="0" fontId="18" fillId="8" borderId="58" xfId="0" applyFont="1" applyFill="1" applyBorder="1" applyAlignment="1">
      <alignment horizontal="center" vertical="center"/>
    </xf>
    <xf numFmtId="0" fontId="18" fillId="8" borderId="8" xfId="0" applyFont="1" applyFill="1" applyBorder="1" applyAlignment="1">
      <alignment horizontal="center" vertical="center"/>
    </xf>
    <xf numFmtId="0" fontId="18" fillId="8" borderId="59" xfId="0" applyFont="1" applyFill="1" applyBorder="1" applyAlignment="1">
      <alignment horizontal="center" vertical="center"/>
    </xf>
    <xf numFmtId="0" fontId="18" fillId="8" borderId="19" xfId="0" applyFont="1" applyFill="1" applyBorder="1" applyAlignment="1">
      <alignment horizontal="center" vertical="center"/>
    </xf>
    <xf numFmtId="4" fontId="48" fillId="4" borderId="61" xfId="0" applyNumberFormat="1" applyFont="1" applyFill="1" applyBorder="1" applyAlignment="1">
      <alignment horizontal="center" vertical="center"/>
    </xf>
    <xf numFmtId="0" fontId="15" fillId="3" borderId="0" xfId="0" applyFont="1" applyFill="1" applyAlignment="1">
      <alignment horizontal="right" vertical="center"/>
    </xf>
    <xf numFmtId="164" fontId="15" fillId="3" borderId="0" xfId="0" applyNumberFormat="1" applyFont="1" applyFill="1" applyAlignment="1">
      <alignment horizontal="right" vertical="center"/>
    </xf>
    <xf numFmtId="0" fontId="14" fillId="3" borderId="0" xfId="0" applyFont="1" applyFill="1"/>
    <xf numFmtId="0" fontId="20" fillId="3" borderId="0" xfId="0" applyFont="1" applyFill="1"/>
    <xf numFmtId="3" fontId="10" fillId="3" borderId="0" xfId="0" applyNumberFormat="1" applyFont="1" applyFill="1"/>
    <xf numFmtId="3" fontId="45" fillId="3" borderId="0" xfId="0" applyNumberFormat="1" applyFont="1" applyFill="1"/>
    <xf numFmtId="0" fontId="27" fillId="3" borderId="0" xfId="0" applyFont="1" applyFill="1" applyAlignment="1">
      <alignment horizontal="right" vertical="center"/>
    </xf>
    <xf numFmtId="164" fontId="27" fillId="3" borderId="6" xfId="0" applyNumberFormat="1" applyFont="1" applyFill="1" applyBorder="1" applyAlignment="1">
      <alignment vertical="center"/>
    </xf>
    <xf numFmtId="164" fontId="11" fillId="3" borderId="0" xfId="0" applyNumberFormat="1" applyFont="1" applyFill="1" applyAlignment="1">
      <alignment vertical="center"/>
    </xf>
    <xf numFmtId="164" fontId="45" fillId="3" borderId="0" xfId="0" applyNumberFormat="1" applyFont="1" applyFill="1" applyAlignment="1">
      <alignment vertical="center"/>
    </xf>
    <xf numFmtId="3" fontId="27" fillId="3" borderId="6" xfId="0" applyNumberFormat="1" applyFont="1" applyFill="1" applyBorder="1" applyAlignment="1">
      <alignment vertical="center"/>
    </xf>
    <xf numFmtId="169" fontId="45" fillId="3" borderId="0" xfId="0" applyNumberFormat="1" applyFont="1" applyFill="1" applyAlignment="1">
      <alignment vertical="center"/>
    </xf>
    <xf numFmtId="169" fontId="22" fillId="3" borderId="0" xfId="0" applyNumberFormat="1" applyFont="1" applyFill="1" applyAlignment="1">
      <alignment vertical="center"/>
    </xf>
    <xf numFmtId="169" fontId="10" fillId="3" borderId="0" xfId="0" applyNumberFormat="1" applyFont="1" applyFill="1" applyAlignment="1">
      <alignment vertical="center"/>
    </xf>
    <xf numFmtId="0" fontId="51" fillId="3" borderId="0" xfId="0" applyFont="1" applyFill="1" applyAlignment="1">
      <alignment vertical="center"/>
    </xf>
    <xf numFmtId="0" fontId="52" fillId="3" borderId="0" xfId="0" applyFont="1" applyFill="1"/>
    <xf numFmtId="1" fontId="10" fillId="3" borderId="0" xfId="0" applyNumberFormat="1" applyFont="1" applyFill="1"/>
    <xf numFmtId="164" fontId="27" fillId="3" borderId="0" xfId="0" applyNumberFormat="1" applyFont="1" applyFill="1" applyAlignment="1">
      <alignment horizontal="right" vertical="center"/>
    </xf>
    <xf numFmtId="0" fontId="27" fillId="3" borderId="0" xfId="0" applyFont="1" applyFill="1" applyAlignment="1">
      <alignment vertical="center"/>
    </xf>
    <xf numFmtId="164" fontId="14" fillId="3" borderId="0" xfId="0" applyNumberFormat="1" applyFont="1" applyFill="1" applyAlignment="1">
      <alignment vertical="center"/>
    </xf>
    <xf numFmtId="3" fontId="20" fillId="3" borderId="6" xfId="0" applyNumberFormat="1" applyFont="1" applyFill="1" applyBorder="1" applyAlignment="1">
      <alignment vertical="center"/>
    </xf>
    <xf numFmtId="0" fontId="14" fillId="3" borderId="0" xfId="0" applyFont="1" applyFill="1" applyAlignment="1">
      <alignment horizontal="center"/>
    </xf>
    <xf numFmtId="3" fontId="14" fillId="3" borderId="0" xfId="0" applyNumberFormat="1" applyFont="1" applyFill="1" applyAlignment="1">
      <alignment horizontal="center"/>
    </xf>
    <xf numFmtId="0" fontId="18" fillId="3" borderId="0" xfId="0" applyFont="1" applyFill="1" applyAlignment="1">
      <alignment vertical="center"/>
    </xf>
    <xf numFmtId="0" fontId="18" fillId="3" borderId="0" xfId="0" applyFont="1" applyFill="1" applyAlignment="1">
      <alignment horizontal="center" vertical="center"/>
    </xf>
    <xf numFmtId="0" fontId="43" fillId="3" borderId="0" xfId="0" applyFont="1" applyFill="1" applyAlignment="1">
      <alignment vertical="center"/>
    </xf>
    <xf numFmtId="0" fontId="52" fillId="3" borderId="0" xfId="0" applyFont="1" applyFill="1" applyAlignment="1">
      <alignment vertical="center"/>
    </xf>
    <xf numFmtId="0" fontId="22" fillId="3" borderId="0" xfId="0" applyFont="1" applyFill="1"/>
    <xf numFmtId="0" fontId="22" fillId="3" borderId="0" xfId="0" applyFont="1" applyFill="1" applyAlignment="1">
      <alignment horizontal="center" vertical="center"/>
    </xf>
    <xf numFmtId="0" fontId="23" fillId="3" borderId="0" xfId="0" applyFont="1" applyFill="1"/>
    <xf numFmtId="165" fontId="22" fillId="3" borderId="0" xfId="0" applyNumberFormat="1" applyFont="1" applyFill="1" applyAlignment="1">
      <alignment vertical="center"/>
    </xf>
    <xf numFmtId="0" fontId="10" fillId="3" borderId="6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24" fillId="3" borderId="6" xfId="0" applyFont="1" applyFill="1" applyBorder="1" applyAlignment="1">
      <alignment horizontal="center"/>
    </xf>
    <xf numFmtId="0" fontId="18" fillId="3" borderId="6" xfId="0" applyFont="1" applyFill="1" applyBorder="1" applyAlignment="1">
      <alignment horizontal="center"/>
    </xf>
    <xf numFmtId="0" fontId="15" fillId="3" borderId="6" xfId="0" applyFont="1" applyFill="1" applyBorder="1" applyAlignment="1">
      <alignment horizontal="center"/>
    </xf>
    <xf numFmtId="1" fontId="15" fillId="3" borderId="6" xfId="0" applyNumberFormat="1" applyFont="1" applyFill="1" applyBorder="1"/>
    <xf numFmtId="165" fontId="10" fillId="3" borderId="6" xfId="0" applyNumberFormat="1" applyFont="1" applyFill="1" applyBorder="1" applyAlignment="1">
      <alignment vertical="center"/>
    </xf>
    <xf numFmtId="169" fontId="15" fillId="3" borderId="6" xfId="0" applyNumberFormat="1" applyFont="1" applyFill="1" applyBorder="1" applyAlignment="1">
      <alignment horizontal="right"/>
    </xf>
    <xf numFmtId="4" fontId="10" fillId="3" borderId="0" xfId="0" applyNumberFormat="1" applyFont="1" applyFill="1"/>
    <xf numFmtId="4" fontId="10" fillId="3" borderId="0" xfId="0" applyNumberFormat="1" applyFont="1" applyFill="1" applyAlignment="1">
      <alignment vertical="center"/>
    </xf>
    <xf numFmtId="4" fontId="10" fillId="3" borderId="0" xfId="0" applyNumberFormat="1" applyFont="1" applyFill="1" applyAlignment="1">
      <alignment horizontal="center" vertical="center"/>
    </xf>
    <xf numFmtId="4" fontId="17" fillId="3" borderId="0" xfId="0" applyNumberFormat="1" applyFont="1" applyFill="1" applyAlignment="1">
      <alignment vertical="center"/>
    </xf>
    <xf numFmtId="4" fontId="22" fillId="3" borderId="0" xfId="0" applyNumberFormat="1" applyFont="1" applyFill="1" applyAlignment="1">
      <alignment vertical="center"/>
    </xf>
    <xf numFmtId="4" fontId="24" fillId="3" borderId="0" xfId="0" applyNumberFormat="1" applyFont="1" applyFill="1"/>
    <xf numFmtId="4" fontId="29" fillId="3" borderId="0" xfId="0" applyNumberFormat="1" applyFont="1" applyFill="1"/>
    <xf numFmtId="4" fontId="36" fillId="3" borderId="0" xfId="0" applyNumberFormat="1" applyFont="1" applyFill="1"/>
    <xf numFmtId="4" fontId="14" fillId="3" borderId="6" xfId="0" applyNumberFormat="1" applyFont="1" applyFill="1" applyBorder="1" applyAlignment="1">
      <alignment horizontal="center"/>
    </xf>
    <xf numFmtId="4" fontId="45" fillId="3" borderId="0" xfId="0" applyNumberFormat="1" applyFont="1" applyFill="1" applyAlignment="1">
      <alignment vertical="center"/>
    </xf>
    <xf numFmtId="4" fontId="15" fillId="3" borderId="6" xfId="0" applyNumberFormat="1" applyFont="1" applyFill="1" applyBorder="1" applyAlignment="1">
      <alignment horizontal="right"/>
    </xf>
    <xf numFmtId="3" fontId="1" fillId="0" borderId="0" xfId="0" applyNumberFormat="1" applyFont="1"/>
    <xf numFmtId="3" fontId="8" fillId="0" borderId="0" xfId="0" applyNumberFormat="1" applyFont="1"/>
    <xf numFmtId="2" fontId="1" fillId="0" borderId="0" xfId="0" applyNumberFormat="1" applyFont="1"/>
    <xf numFmtId="0" fontId="8" fillId="0" borderId="0" xfId="0" applyFont="1"/>
    <xf numFmtId="3" fontId="0" fillId="0" borderId="0" xfId="0" applyNumberFormat="1"/>
    <xf numFmtId="2" fontId="8" fillId="0" borderId="0" xfId="0" applyNumberFormat="1" applyFont="1"/>
    <xf numFmtId="169" fontId="0" fillId="0" borderId="0" xfId="0" applyNumberFormat="1"/>
    <xf numFmtId="3" fontId="1" fillId="9" borderId="0" xfId="0" applyNumberFormat="1" applyFont="1" applyFill="1"/>
    <xf numFmtId="3" fontId="8" fillId="9" borderId="0" xfId="0" applyNumberFormat="1" applyFont="1" applyFill="1"/>
    <xf numFmtId="3" fontId="53" fillId="0" borderId="0" xfId="0" applyNumberFormat="1" applyFont="1"/>
    <xf numFmtId="3" fontId="3" fillId="0" borderId="0" xfId="0" applyNumberFormat="1" applyFont="1"/>
    <xf numFmtId="169" fontId="5" fillId="0" borderId="0" xfId="0" applyNumberFormat="1" applyFont="1"/>
    <xf numFmtId="169" fontId="49" fillId="0" borderId="0" xfId="0" applyNumberFormat="1" applyFont="1"/>
    <xf numFmtId="0" fontId="5" fillId="0" borderId="0" xfId="0" applyFont="1"/>
    <xf numFmtId="3" fontId="53" fillId="9" borderId="0" xfId="0" applyNumberFormat="1" applyFont="1" applyFill="1"/>
    <xf numFmtId="3" fontId="3" fillId="9" borderId="0" xfId="0" applyNumberFormat="1" applyFont="1" applyFill="1"/>
    <xf numFmtId="2" fontId="3" fillId="0" borderId="0" xfId="0" applyNumberFormat="1" applyFont="1"/>
    <xf numFmtId="2" fontId="53" fillId="0" borderId="0" xfId="0" applyNumberFormat="1" applyFont="1"/>
    <xf numFmtId="2" fontId="2" fillId="0" borderId="0" xfId="0" applyNumberFormat="1" applyFont="1"/>
    <xf numFmtId="2" fontId="40" fillId="0" borderId="0" xfId="0" applyNumberFormat="1" applyFont="1"/>
    <xf numFmtId="0" fontId="1" fillId="0" borderId="0" xfId="0" applyFont="1"/>
    <xf numFmtId="0" fontId="53" fillId="0" borderId="0" xfId="0" applyFont="1"/>
    <xf numFmtId="2" fontId="5" fillId="0" borderId="0" xfId="0" applyNumberFormat="1" applyFont="1"/>
    <xf numFmtId="2" fontId="0" fillId="0" borderId="0" xfId="0" applyNumberFormat="1"/>
    <xf numFmtId="2" fontId="1" fillId="0" borderId="63" xfId="0" applyNumberFormat="1" applyFont="1" applyBorder="1"/>
    <xf numFmtId="0" fontId="8" fillId="0" borderId="64" xfId="0" applyFont="1" applyBorder="1"/>
    <xf numFmtId="2" fontId="1" fillId="0" borderId="65" xfId="0" applyNumberFormat="1" applyFont="1" applyBorder="1"/>
    <xf numFmtId="2" fontId="8" fillId="0" borderId="66" xfId="0" applyNumberFormat="1" applyFont="1" applyBorder="1"/>
    <xf numFmtId="2" fontId="1" fillId="0" borderId="67" xfId="0" applyNumberFormat="1" applyFont="1" applyBorder="1"/>
    <xf numFmtId="2" fontId="8" fillId="0" borderId="68" xfId="0" applyNumberFormat="1" applyFont="1" applyBorder="1"/>
    <xf numFmtId="0" fontId="8" fillId="0" borderId="69" xfId="0" applyFont="1" applyBorder="1"/>
    <xf numFmtId="2" fontId="1" fillId="0" borderId="69" xfId="0" applyNumberFormat="1" applyFont="1" applyBorder="1"/>
    <xf numFmtId="2" fontId="8" fillId="0" borderId="0" xfId="0" applyNumberFormat="1" applyFont="1" applyBorder="1"/>
    <xf numFmtId="2" fontId="1" fillId="0" borderId="0" xfId="0" applyNumberFormat="1" applyFont="1" applyBorder="1"/>
    <xf numFmtId="2" fontId="8" fillId="0" borderId="70" xfId="0" applyNumberFormat="1" applyFont="1" applyBorder="1"/>
    <xf numFmtId="2" fontId="1" fillId="0" borderId="70" xfId="0" applyNumberFormat="1" applyFont="1" applyBorder="1"/>
    <xf numFmtId="4" fontId="1" fillId="0" borderId="0" xfId="0" applyNumberFormat="1" applyFont="1"/>
    <xf numFmtId="0" fontId="0" fillId="0" borderId="0" xfId="0" applyFont="1"/>
    <xf numFmtId="4" fontId="0" fillId="0" borderId="0" xfId="0" applyNumberFormat="1" applyFont="1"/>
    <xf numFmtId="1" fontId="1" fillId="0" borderId="0" xfId="0" applyNumberFormat="1" applyFont="1"/>
    <xf numFmtId="169" fontId="54" fillId="3" borderId="0" xfId="0" applyNumberFormat="1" applyFont="1" applyFill="1" applyAlignment="1">
      <alignment vertical="center"/>
    </xf>
    <xf numFmtId="169" fontId="28" fillId="3" borderId="6" xfId="0" applyNumberFormat="1" applyFont="1" applyFill="1" applyBorder="1" applyAlignment="1">
      <alignment horizontal="right"/>
    </xf>
    <xf numFmtId="1" fontId="1" fillId="4" borderId="6" xfId="0" applyNumberFormat="1" applyFont="1" applyFill="1" applyBorder="1"/>
    <xf numFmtId="0" fontId="55" fillId="3" borderId="0" xfId="0" applyFont="1" applyFill="1"/>
    <xf numFmtId="0" fontId="28" fillId="3" borderId="6" xfId="0" applyFont="1" applyFill="1" applyBorder="1" applyAlignment="1">
      <alignment horizontal="right"/>
    </xf>
    <xf numFmtId="165" fontId="29" fillId="3" borderId="0" xfId="0" applyNumberFormat="1" applyFont="1" applyFill="1"/>
    <xf numFmtId="169" fontId="22" fillId="3" borderId="0" xfId="0" applyNumberFormat="1" applyFont="1" applyFill="1"/>
    <xf numFmtId="169" fontId="10" fillId="3" borderId="0" xfId="0" applyNumberFormat="1" applyFont="1" applyFill="1"/>
    <xf numFmtId="3" fontId="10" fillId="3" borderId="0" xfId="0" applyNumberFormat="1" applyFont="1" applyFill="1" applyAlignment="1">
      <alignment vertical="center"/>
    </xf>
    <xf numFmtId="10" fontId="22" fillId="3" borderId="0" xfId="0" applyNumberFormat="1" applyFont="1" applyFill="1"/>
    <xf numFmtId="10" fontId="22" fillId="3" borderId="0" xfId="0" applyNumberFormat="1" applyFont="1" applyFill="1" applyAlignment="1">
      <alignment vertical="center"/>
    </xf>
    <xf numFmtId="10" fontId="24" fillId="3" borderId="0" xfId="0" applyNumberFormat="1" applyFont="1" applyFill="1"/>
    <xf numFmtId="10" fontId="29" fillId="3" borderId="0" xfId="0" applyNumberFormat="1" applyFont="1" applyFill="1"/>
    <xf numFmtId="0" fontId="10" fillId="3" borderId="0" xfId="0" quotePrefix="1" applyFont="1" applyFill="1" applyAlignment="1">
      <alignment horizontal="right"/>
    </xf>
    <xf numFmtId="0" fontId="29" fillId="3" borderId="0" xfId="0" applyFont="1" applyFill="1" applyAlignment="1">
      <alignment horizontal="center"/>
    </xf>
    <xf numFmtId="169" fontId="27" fillId="3" borderId="6" xfId="0" applyNumberFormat="1" applyFont="1" applyFill="1" applyBorder="1" applyAlignment="1">
      <alignment vertical="center"/>
    </xf>
    <xf numFmtId="3" fontId="45" fillId="3" borderId="6" xfId="0" applyNumberFormat="1" applyFont="1" applyFill="1" applyBorder="1" applyAlignment="1">
      <alignment vertical="center"/>
    </xf>
    <xf numFmtId="165" fontId="45" fillId="3" borderId="0" xfId="0" applyNumberFormat="1" applyFont="1" applyFill="1" applyAlignment="1">
      <alignment vertical="center"/>
    </xf>
    <xf numFmtId="0" fontId="10" fillId="8" borderId="33" xfId="0" applyFont="1" applyFill="1" applyBorder="1" applyAlignment="1">
      <alignment vertical="center"/>
    </xf>
    <xf numFmtId="0" fontId="10" fillId="8" borderId="18" xfId="0" applyFont="1" applyFill="1" applyBorder="1" applyAlignment="1">
      <alignment horizontal="left" vertical="center"/>
    </xf>
    <xf numFmtId="0" fontId="19" fillId="8" borderId="33" xfId="0" applyFont="1" applyFill="1" applyBorder="1" applyAlignment="1">
      <alignment horizontal="center" vertical="center"/>
    </xf>
    <xf numFmtId="0" fontId="4" fillId="8" borderId="33" xfId="0" applyFont="1" applyFill="1" applyBorder="1" applyAlignment="1">
      <alignment horizontal="center" vertical="center"/>
    </xf>
    <xf numFmtId="165" fontId="18" fillId="8" borderId="19" xfId="0" applyNumberFormat="1" applyFont="1" applyFill="1" applyBorder="1" applyAlignment="1">
      <alignment horizontal="right" vertical="center"/>
    </xf>
    <xf numFmtId="165" fontId="10" fillId="8" borderId="19" xfId="0" quotePrefix="1" applyNumberFormat="1" applyFont="1" applyFill="1" applyBorder="1" applyAlignment="1">
      <alignment horizontal="right" vertical="center"/>
    </xf>
    <xf numFmtId="3" fontId="28" fillId="3" borderId="0" xfId="0" applyNumberFormat="1" applyFont="1" applyFill="1" applyAlignment="1">
      <alignment horizontal="center"/>
    </xf>
    <xf numFmtId="0" fontId="52" fillId="0" borderId="11" xfId="0" applyFont="1" applyBorder="1" applyAlignment="1">
      <alignment horizontal="center" vertical="center"/>
    </xf>
    <xf numFmtId="0" fontId="22" fillId="0" borderId="5" xfId="0" quotePrefix="1" applyFont="1" applyBorder="1" applyAlignment="1">
      <alignment vertical="center"/>
    </xf>
    <xf numFmtId="0" fontId="22" fillId="0" borderId="6" xfId="0" applyFont="1" applyBorder="1" applyAlignment="1">
      <alignment horizontal="left" vertical="center"/>
    </xf>
    <xf numFmtId="0" fontId="56" fillId="0" borderId="5" xfId="0" applyFont="1" applyBorder="1" applyAlignment="1">
      <alignment horizontal="center" vertical="center"/>
    </xf>
    <xf numFmtId="164" fontId="52" fillId="0" borderId="8" xfId="0" quotePrefix="1" applyNumberFormat="1" applyFont="1" applyBorder="1" applyAlignment="1">
      <alignment horizontal="right" vertical="center"/>
    </xf>
    <xf numFmtId="165" fontId="22" fillId="10" borderId="0" xfId="0" applyNumberFormat="1" applyFont="1" applyFill="1" applyAlignment="1">
      <alignment vertical="center"/>
    </xf>
    <xf numFmtId="164" fontId="50" fillId="3" borderId="0" xfId="0" applyNumberFormat="1" applyFont="1" applyFill="1" applyAlignment="1">
      <alignment horizontal="right" vertical="center"/>
    </xf>
    <xf numFmtId="0" fontId="50" fillId="3" borderId="0" xfId="0" applyFont="1" applyFill="1" applyAlignment="1">
      <alignment horizontal="right" vertical="center"/>
    </xf>
    <xf numFmtId="0" fontId="50" fillId="3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164" fontId="28" fillId="3" borderId="0" xfId="0" applyNumberFormat="1" applyFont="1" applyFill="1" applyAlignment="1">
      <alignment horizontal="right" vertical="center"/>
    </xf>
    <xf numFmtId="0" fontId="28" fillId="3" borderId="0" xfId="0" applyFont="1" applyFill="1" applyAlignment="1">
      <alignment horizontal="right" vertical="center"/>
    </xf>
    <xf numFmtId="0" fontId="57" fillId="3" borderId="0" xfId="0" applyFont="1" applyFill="1" applyAlignment="1">
      <alignment vertical="center"/>
    </xf>
    <xf numFmtId="4" fontId="51" fillId="3" borderId="0" xfId="0" applyNumberFormat="1" applyFont="1" applyFill="1" applyAlignment="1">
      <alignment vertical="center"/>
    </xf>
    <xf numFmtId="0" fontId="51" fillId="0" borderId="0" xfId="0" applyFont="1" applyAlignment="1">
      <alignment vertical="center"/>
    </xf>
    <xf numFmtId="0" fontId="22" fillId="4" borderId="0" xfId="0" applyFont="1" applyFill="1"/>
    <xf numFmtId="4" fontId="22" fillId="3" borderId="0" xfId="0" applyNumberFormat="1" applyFont="1" applyFill="1"/>
    <xf numFmtId="0" fontId="22" fillId="0" borderId="0" xfId="0" applyFont="1"/>
    <xf numFmtId="0" fontId="45" fillId="3" borderId="0" xfId="0" applyFont="1" applyFill="1" applyAlignment="1">
      <alignment horizontal="right" vertical="center"/>
    </xf>
    <xf numFmtId="170" fontId="45" fillId="3" borderId="0" xfId="0" applyNumberFormat="1" applyFont="1" applyFill="1" applyAlignment="1">
      <alignment horizontal="right" vertical="center"/>
    </xf>
    <xf numFmtId="174" fontId="45" fillId="3" borderId="0" xfId="0" applyNumberFormat="1" applyFont="1" applyFill="1" applyAlignment="1">
      <alignment horizontal="center" vertical="center"/>
    </xf>
    <xf numFmtId="20" fontId="45" fillId="3" borderId="0" xfId="0" applyNumberFormat="1" applyFont="1" applyFill="1" applyAlignment="1">
      <alignment horizontal="center" vertical="center"/>
    </xf>
    <xf numFmtId="171" fontId="45" fillId="3" borderId="0" xfId="0" applyNumberFormat="1" applyFont="1" applyFill="1" applyAlignment="1">
      <alignment vertical="center"/>
    </xf>
    <xf numFmtId="172" fontId="45" fillId="3" borderId="0" xfId="0" applyNumberFormat="1" applyFont="1" applyFill="1" applyAlignment="1">
      <alignment vertical="center"/>
    </xf>
    <xf numFmtId="164" fontId="45" fillId="3" borderId="6" xfId="0" applyNumberFormat="1" applyFont="1" applyFill="1" applyBorder="1" applyAlignment="1">
      <alignment vertical="center"/>
    </xf>
    <xf numFmtId="164" fontId="18" fillId="3" borderId="0" xfId="0" applyNumberFormat="1" applyFont="1" applyFill="1" applyAlignment="1">
      <alignment vertical="center"/>
    </xf>
    <xf numFmtId="165" fontId="54" fillId="3" borderId="0" xfId="0" applyNumberFormat="1" applyFont="1" applyFill="1" applyAlignment="1">
      <alignment vertical="center"/>
    </xf>
    <xf numFmtId="0" fontId="45" fillId="3" borderId="0" xfId="0" applyFont="1" applyFill="1" applyAlignment="1">
      <alignment horizontal="center" vertical="center"/>
    </xf>
    <xf numFmtId="170" fontId="45" fillId="3" borderId="0" xfId="0" applyNumberFormat="1" applyFont="1" applyFill="1" applyAlignment="1">
      <alignment vertical="center"/>
    </xf>
    <xf numFmtId="3" fontId="10" fillId="3" borderId="6" xfId="0" applyNumberFormat="1" applyFont="1" applyFill="1" applyBorder="1" applyAlignment="1">
      <alignment vertical="center"/>
    </xf>
    <xf numFmtId="1" fontId="45" fillId="3" borderId="6" xfId="0" applyNumberFormat="1" applyFont="1" applyFill="1" applyBorder="1" applyAlignment="1">
      <alignment vertical="center"/>
    </xf>
    <xf numFmtId="1" fontId="27" fillId="3" borderId="6" xfId="0" applyNumberFormat="1" applyFont="1" applyFill="1" applyBorder="1" applyAlignment="1">
      <alignment vertical="center"/>
    </xf>
    <xf numFmtId="0" fontId="20" fillId="3" borderId="5" xfId="0" applyFont="1" applyFill="1" applyBorder="1" applyAlignment="1">
      <alignment horizontal="center"/>
    </xf>
    <xf numFmtId="0" fontId="20" fillId="3" borderId="71" xfId="0" applyFont="1" applyFill="1" applyBorder="1" applyAlignment="1">
      <alignment horizontal="center"/>
    </xf>
    <xf numFmtId="3" fontId="10" fillId="3" borderId="2" xfId="0" applyNumberFormat="1" applyFont="1" applyFill="1" applyBorder="1" applyAlignment="1">
      <alignment vertical="center"/>
    </xf>
    <xf numFmtId="4" fontId="10" fillId="3" borderId="7" xfId="0" applyNumberFormat="1" applyFont="1" applyFill="1" applyBorder="1" applyAlignment="1">
      <alignment vertical="center"/>
    </xf>
    <xf numFmtId="4" fontId="10" fillId="3" borderId="72" xfId="0" applyNumberFormat="1" applyFont="1" applyFill="1" applyBorder="1" applyAlignment="1">
      <alignment vertical="center"/>
    </xf>
    <xf numFmtId="0" fontId="14" fillId="4" borderId="0" xfId="0" applyFont="1" applyFill="1" applyAlignment="1">
      <alignment horizontal="left"/>
    </xf>
    <xf numFmtId="165" fontId="27" fillId="4" borderId="0" xfId="0" applyNumberFormat="1" applyFont="1" applyFill="1" applyAlignment="1">
      <alignment horizontal="right"/>
    </xf>
    <xf numFmtId="0" fontId="27" fillId="4" borderId="0" xfId="0" applyFont="1" applyFill="1" applyAlignment="1">
      <alignment horizontal="center"/>
    </xf>
    <xf numFmtId="0" fontId="10" fillId="6" borderId="73" xfId="0" applyFont="1" applyFill="1" applyBorder="1"/>
    <xf numFmtId="165" fontId="11" fillId="6" borderId="1" xfId="0" applyNumberFormat="1" applyFont="1" applyFill="1" applyBorder="1" applyAlignment="1">
      <alignment horizontal="right" vertical="center"/>
    </xf>
    <xf numFmtId="169" fontId="45" fillId="4" borderId="0" xfId="0" applyNumberFormat="1" applyFont="1" applyFill="1" applyAlignment="1">
      <alignment horizontal="center"/>
    </xf>
    <xf numFmtId="167" fontId="24" fillId="4" borderId="0" xfId="0" applyNumberFormat="1" applyFont="1" applyFill="1" applyAlignment="1">
      <alignment horizontal="center"/>
    </xf>
    <xf numFmtId="169" fontId="54" fillId="4" borderId="0" xfId="0" applyNumberFormat="1" applyFont="1" applyFill="1" applyAlignment="1">
      <alignment horizontal="center"/>
    </xf>
    <xf numFmtId="166" fontId="24" fillId="4" borderId="0" xfId="0" applyNumberFormat="1" applyFont="1" applyFill="1" applyAlignment="1">
      <alignment horizontal="left"/>
    </xf>
    <xf numFmtId="169" fontId="54" fillId="4" borderId="0" xfId="0" applyNumberFormat="1" applyFont="1" applyFill="1" applyAlignment="1">
      <alignment horizontal="left"/>
    </xf>
    <xf numFmtId="165" fontId="10" fillId="0" borderId="8" xfId="0" applyNumberFormat="1" applyFont="1" applyBorder="1" applyAlignment="1">
      <alignment horizontal="left" vertical="center"/>
    </xf>
    <xf numFmtId="165" fontId="10" fillId="0" borderId="8" xfId="0" quotePrefix="1" applyNumberFormat="1" applyFont="1" applyBorder="1" applyAlignment="1">
      <alignment horizontal="left" vertical="center"/>
    </xf>
    <xf numFmtId="165" fontId="22" fillId="0" borderId="8" xfId="0" applyNumberFormat="1" applyFont="1" applyBorder="1" applyAlignment="1">
      <alignment horizontal="left" vertical="center"/>
    </xf>
    <xf numFmtId="165" fontId="22" fillId="0" borderId="8" xfId="0" quotePrefix="1" applyNumberFormat="1" applyFont="1" applyBorder="1" applyAlignment="1">
      <alignment horizontal="left" vertical="center"/>
    </xf>
    <xf numFmtId="165" fontId="10" fillId="0" borderId="15" xfId="0" applyNumberFormat="1" applyFont="1" applyBorder="1" applyAlignment="1">
      <alignment horizontal="left" vertical="center"/>
    </xf>
    <xf numFmtId="165" fontId="10" fillId="8" borderId="8" xfId="0" quotePrefix="1" applyNumberFormat="1" applyFont="1" applyFill="1" applyBorder="1" applyAlignment="1">
      <alignment horizontal="left" vertical="center"/>
    </xf>
    <xf numFmtId="165" fontId="22" fillId="8" borderId="8" xfId="0" quotePrefix="1" applyNumberFormat="1" applyFont="1" applyFill="1" applyBorder="1" applyAlignment="1">
      <alignment horizontal="left" vertical="center"/>
    </xf>
    <xf numFmtId="165" fontId="10" fillId="8" borderId="8" xfId="0" applyNumberFormat="1" applyFont="1" applyFill="1" applyBorder="1" applyAlignment="1">
      <alignment horizontal="left" vertical="center"/>
    </xf>
    <xf numFmtId="165" fontId="10" fillId="8" borderId="53" xfId="0" quotePrefix="1" applyNumberFormat="1" applyFont="1" applyFill="1" applyBorder="1" applyAlignment="1">
      <alignment horizontal="left" vertical="center"/>
    </xf>
    <xf numFmtId="165" fontId="10" fillId="4" borderId="0" xfId="0" applyNumberFormat="1" applyFont="1" applyFill="1" applyAlignment="1">
      <alignment horizontal="left"/>
    </xf>
    <xf numFmtId="165" fontId="10" fillId="0" borderId="49" xfId="0" applyNumberFormat="1" applyFont="1" applyBorder="1" applyAlignment="1">
      <alignment horizontal="left" vertical="center"/>
    </xf>
    <xf numFmtId="165" fontId="10" fillId="8" borderId="19" xfId="0" quotePrefix="1" applyNumberFormat="1" applyFont="1" applyFill="1" applyBorder="1" applyAlignment="1">
      <alignment horizontal="left" vertical="center"/>
    </xf>
    <xf numFmtId="165" fontId="15" fillId="6" borderId="1" xfId="0" applyNumberFormat="1" applyFont="1" applyFill="1" applyBorder="1" applyAlignment="1">
      <alignment horizontal="left" vertical="center"/>
    </xf>
    <xf numFmtId="165" fontId="10" fillId="7" borderId="8" xfId="0" quotePrefix="1" applyNumberFormat="1" applyFont="1" applyFill="1" applyBorder="1" applyAlignment="1">
      <alignment horizontal="left" vertical="center"/>
    </xf>
    <xf numFmtId="164" fontId="20" fillId="6" borderId="22" xfId="0" applyNumberFormat="1" applyFont="1" applyFill="1" applyBorder="1" applyAlignment="1">
      <alignment horizontal="center" vertical="center"/>
    </xf>
    <xf numFmtId="164" fontId="20" fillId="6" borderId="6" xfId="0" applyNumberFormat="1" applyFont="1" applyFill="1" applyBorder="1" applyAlignment="1">
      <alignment horizontal="center" vertical="center"/>
    </xf>
    <xf numFmtId="164" fontId="20" fillId="6" borderId="27" xfId="0" applyNumberFormat="1" applyFont="1" applyFill="1" applyBorder="1" applyAlignment="1">
      <alignment horizontal="center" vertical="center"/>
    </xf>
    <xf numFmtId="14" fontId="59" fillId="4" borderId="0" xfId="0" applyNumberFormat="1" applyFont="1" applyFill="1" applyAlignment="1">
      <alignment horizontal="left"/>
    </xf>
    <xf numFmtId="0" fontId="15" fillId="4" borderId="0" xfId="0" applyFont="1" applyFill="1" applyAlignment="1">
      <alignment horizontal="center"/>
    </xf>
    <xf numFmtId="0" fontId="11" fillId="3" borderId="0" xfId="0" applyFont="1" applyFill="1" applyAlignment="1">
      <alignment horizontal="left" vertical="center"/>
    </xf>
    <xf numFmtId="3" fontId="61" fillId="3" borderId="0" xfId="0" applyNumberFormat="1" applyFont="1" applyFill="1" applyAlignment="1">
      <alignment horizontal="center" vertical="center"/>
    </xf>
    <xf numFmtId="164" fontId="15" fillId="3" borderId="0" xfId="0" applyNumberFormat="1" applyFont="1" applyFill="1" applyAlignment="1">
      <alignment vertical="center"/>
    </xf>
    <xf numFmtId="0" fontId="15" fillId="3" borderId="0" xfId="0" applyFont="1" applyFill="1" applyAlignment="1">
      <alignment horizontal="center"/>
    </xf>
    <xf numFmtId="0" fontId="62" fillId="3" borderId="0" xfId="0" applyFont="1" applyFill="1" applyAlignment="1">
      <alignment vertical="center"/>
    </xf>
    <xf numFmtId="0" fontId="10" fillId="3" borderId="0" xfId="0" applyFont="1" applyFill="1" applyAlignment="1">
      <alignment horizontal="center"/>
    </xf>
    <xf numFmtId="0" fontId="14" fillId="11" borderId="6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/>
    </xf>
    <xf numFmtId="0" fontId="45" fillId="3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63" fillId="3" borderId="0" xfId="0" applyFont="1" applyFill="1" applyAlignment="1">
      <alignment vertical="center"/>
    </xf>
    <xf numFmtId="0" fontId="64" fillId="0" borderId="5" xfId="0" applyFont="1" applyBorder="1" applyAlignment="1">
      <alignment horizontal="center" vertical="center"/>
    </xf>
    <xf numFmtId="4" fontId="10" fillId="3" borderId="0" xfId="0" applyNumberFormat="1" applyFont="1" applyFill="1" applyAlignment="1">
      <alignment horizontal="center"/>
    </xf>
    <xf numFmtId="0" fontId="27" fillId="3" borderId="0" xfId="0" applyFont="1" applyFill="1" applyAlignment="1">
      <alignment horizontal="center"/>
    </xf>
    <xf numFmtId="0" fontId="24" fillId="3" borderId="0" xfId="0" applyFont="1" applyFill="1" applyAlignment="1">
      <alignment horizontal="center"/>
    </xf>
    <xf numFmtId="0" fontId="19" fillId="3" borderId="6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3" fontId="27" fillId="3" borderId="41" xfId="0" applyNumberFormat="1" applyFont="1" applyFill="1" applyBorder="1" applyAlignment="1">
      <alignment horizontal="center" vertical="center"/>
    </xf>
    <xf numFmtId="3" fontId="24" fillId="3" borderId="41" xfId="0" applyNumberFormat="1" applyFont="1" applyFill="1" applyBorder="1" applyAlignment="1">
      <alignment horizontal="center" vertical="center"/>
    </xf>
    <xf numFmtId="3" fontId="52" fillId="3" borderId="0" xfId="0" applyNumberFormat="1" applyFont="1" applyFill="1" applyAlignment="1">
      <alignment horizontal="center" vertical="center"/>
    </xf>
    <xf numFmtId="3" fontId="27" fillId="3" borderId="19" xfId="0" applyNumberFormat="1" applyFont="1" applyFill="1" applyBorder="1" applyAlignment="1">
      <alignment horizontal="center" vertical="center"/>
    </xf>
    <xf numFmtId="3" fontId="24" fillId="3" borderId="19" xfId="0" applyNumberFormat="1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  <xf numFmtId="2" fontId="27" fillId="3" borderId="0" xfId="0" applyNumberFormat="1" applyFont="1" applyFill="1" applyAlignment="1">
      <alignment horizontal="center" vertical="center"/>
    </xf>
    <xf numFmtId="2" fontId="24" fillId="3" borderId="0" xfId="0" applyNumberFormat="1" applyFont="1" applyFill="1" applyAlignment="1">
      <alignment horizontal="center" vertical="center"/>
    </xf>
    <xf numFmtId="2" fontId="52" fillId="3" borderId="0" xfId="0" applyNumberFormat="1" applyFont="1" applyFill="1" applyAlignment="1">
      <alignment horizontal="center" vertical="center"/>
    </xf>
    <xf numFmtId="3" fontId="27" fillId="3" borderId="1" xfId="0" applyNumberFormat="1" applyFont="1" applyFill="1" applyBorder="1" applyAlignment="1">
      <alignment horizontal="center" vertical="center"/>
    </xf>
    <xf numFmtId="3" fontId="14" fillId="3" borderId="1" xfId="0" applyNumberFormat="1" applyFont="1" applyFill="1" applyBorder="1" applyAlignment="1">
      <alignment horizontal="center" vertical="center"/>
    </xf>
    <xf numFmtId="14" fontId="27" fillId="3" borderId="1" xfId="0" applyNumberFormat="1" applyFont="1" applyFill="1" applyBorder="1" applyAlignment="1">
      <alignment horizontal="center" vertical="center"/>
    </xf>
    <xf numFmtId="14" fontId="14" fillId="3" borderId="1" xfId="0" applyNumberFormat="1" applyFont="1" applyFill="1" applyBorder="1" applyAlignment="1">
      <alignment horizontal="center" vertical="center"/>
    </xf>
    <xf numFmtId="3" fontId="27" fillId="3" borderId="1" xfId="0" quotePrefix="1" applyNumberFormat="1" applyFont="1" applyFill="1" applyBorder="1" applyAlignment="1">
      <alignment horizontal="center" vertical="center"/>
    </xf>
    <xf numFmtId="3" fontId="14" fillId="3" borderId="1" xfId="0" quotePrefix="1" applyNumberFormat="1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 wrapText="1"/>
    </xf>
    <xf numFmtId="3" fontId="11" fillId="3" borderId="0" xfId="0" applyNumberFormat="1" applyFont="1" applyFill="1" applyAlignment="1">
      <alignment horizontal="center" vertical="center"/>
    </xf>
    <xf numFmtId="0" fontId="56" fillId="3" borderId="6" xfId="0" applyFont="1" applyFill="1" applyBorder="1" applyAlignment="1">
      <alignment horizontal="center" vertical="center"/>
    </xf>
    <xf numFmtId="0" fontId="56" fillId="3" borderId="13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9" fillId="3" borderId="24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36" fillId="3" borderId="6" xfId="0" applyFont="1" applyFill="1" applyBorder="1" applyAlignment="1">
      <alignment horizontal="center" vertical="center"/>
    </xf>
    <xf numFmtId="0" fontId="35" fillId="3" borderId="0" xfId="1" applyFont="1" applyFill="1" applyAlignment="1">
      <alignment horizontal="center"/>
    </xf>
    <xf numFmtId="164" fontId="10" fillId="3" borderId="0" xfId="0" applyNumberFormat="1" applyFont="1" applyFill="1"/>
    <xf numFmtId="164" fontId="11" fillId="3" borderId="0" xfId="0" applyNumberFormat="1" applyFont="1" applyFill="1"/>
    <xf numFmtId="164" fontId="18" fillId="3" borderId="0" xfId="0" applyNumberFormat="1" applyFont="1" applyFill="1"/>
    <xf numFmtId="164" fontId="45" fillId="3" borderId="0" xfId="0" applyNumberFormat="1" applyFont="1" applyFill="1"/>
    <xf numFmtId="165" fontId="22" fillId="7" borderId="8" xfId="0" quotePrefix="1" applyNumberFormat="1" applyFont="1" applyFill="1" applyBorder="1" applyAlignment="1">
      <alignment horizontal="left" vertical="center"/>
    </xf>
    <xf numFmtId="173" fontId="27" fillId="3" borderId="1" xfId="0" applyNumberFormat="1" applyFont="1" applyFill="1" applyBorder="1" applyAlignment="1">
      <alignment horizontal="center" vertical="center"/>
    </xf>
    <xf numFmtId="0" fontId="54" fillId="3" borderId="0" xfId="0" applyFont="1" applyFill="1"/>
    <xf numFmtId="0" fontId="42" fillId="0" borderId="5" xfId="0" applyFont="1" applyBorder="1" applyAlignment="1">
      <alignment vertical="center"/>
    </xf>
    <xf numFmtId="0" fontId="22" fillId="0" borderId="12" xfId="0" quotePrefix="1" applyFont="1" applyBorder="1" applyAlignment="1">
      <alignment vertical="center"/>
    </xf>
    <xf numFmtId="164" fontId="18" fillId="7" borderId="8" xfId="0" applyNumberFormat="1" applyFont="1" applyFill="1" applyBorder="1" applyAlignment="1">
      <alignment horizontal="right" vertical="center"/>
    </xf>
    <xf numFmtId="165" fontId="22" fillId="7" borderId="8" xfId="0" quotePrefix="1" applyNumberFormat="1" applyFont="1" applyFill="1" applyBorder="1" applyAlignment="1">
      <alignment horizontal="right" vertical="center"/>
    </xf>
    <xf numFmtId="0" fontId="56" fillId="0" borderId="6" xfId="0" applyFont="1" applyBorder="1" applyAlignment="1">
      <alignment horizontal="center" vertical="center"/>
    </xf>
    <xf numFmtId="0" fontId="4" fillId="7" borderId="5" xfId="0" applyFont="1" applyFill="1" applyBorder="1" applyAlignment="1">
      <alignment horizontal="center" vertical="center"/>
    </xf>
    <xf numFmtId="0" fontId="10" fillId="7" borderId="12" xfId="0" applyFont="1" applyFill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15" fillId="3" borderId="0" xfId="0" applyFont="1" applyFill="1" applyAlignment="1">
      <alignment horizontal="left" vertical="center"/>
    </xf>
    <xf numFmtId="0" fontId="20" fillId="3" borderId="6" xfId="0" applyFont="1" applyFill="1" applyBorder="1" applyAlignment="1">
      <alignment horizontal="center"/>
    </xf>
    <xf numFmtId="4" fontId="10" fillId="3" borderId="6" xfId="0" applyNumberFormat="1" applyFont="1" applyFill="1" applyBorder="1" applyAlignment="1">
      <alignment vertical="center"/>
    </xf>
    <xf numFmtId="0" fontId="18" fillId="3" borderId="5" xfId="0" applyFont="1" applyFill="1" applyBorder="1" applyAlignment="1">
      <alignment horizontal="center"/>
    </xf>
    <xf numFmtId="3" fontId="18" fillId="3" borderId="6" xfId="0" applyNumberFormat="1" applyFont="1" applyFill="1" applyBorder="1" applyAlignment="1">
      <alignment vertical="center"/>
    </xf>
    <xf numFmtId="4" fontId="18" fillId="3" borderId="7" xfId="0" applyNumberFormat="1" applyFont="1" applyFill="1" applyBorder="1" applyAlignment="1">
      <alignment vertical="center"/>
    </xf>
    <xf numFmtId="3" fontId="70" fillId="3" borderId="0" xfId="0" applyNumberFormat="1" applyFont="1" applyFill="1" applyAlignment="1">
      <alignment horizontal="center"/>
    </xf>
    <xf numFmtId="0" fontId="70" fillId="4" borderId="0" xfId="0" applyFont="1" applyFill="1"/>
    <xf numFmtId="4" fontId="60" fillId="4" borderId="0" xfId="0" quotePrefix="1" applyNumberFormat="1" applyFont="1" applyFill="1" applyAlignment="1">
      <alignment horizontal="center" vertical="center" wrapText="1"/>
    </xf>
    <xf numFmtId="0" fontId="70" fillId="4" borderId="0" xfId="0" applyFont="1" applyFill="1" applyAlignment="1">
      <alignment horizontal="center"/>
    </xf>
    <xf numFmtId="164" fontId="60" fillId="4" borderId="0" xfId="0" applyNumberFormat="1" applyFont="1" applyFill="1" applyAlignment="1">
      <alignment horizontal="right"/>
    </xf>
    <xf numFmtId="165" fontId="70" fillId="4" borderId="0" xfId="0" applyNumberFormat="1" applyFont="1" applyFill="1" applyAlignment="1">
      <alignment horizontal="right"/>
    </xf>
    <xf numFmtId="0" fontId="70" fillId="3" borderId="6" xfId="0" applyFont="1" applyFill="1" applyBorder="1" applyAlignment="1">
      <alignment horizontal="center" vertical="center" wrapText="1"/>
    </xf>
    <xf numFmtId="0" fontId="70" fillId="3" borderId="0" xfId="0" applyFont="1" applyFill="1" applyAlignment="1">
      <alignment vertical="center"/>
    </xf>
    <xf numFmtId="0" fontId="72" fillId="3" borderId="0" xfId="0" applyFont="1" applyFill="1" applyAlignment="1">
      <alignment vertical="center"/>
    </xf>
    <xf numFmtId="0" fontId="70" fillId="3" borderId="0" xfId="0" applyFont="1" applyFill="1"/>
    <xf numFmtId="3" fontId="73" fillId="3" borderId="0" xfId="0" applyNumberFormat="1" applyFont="1" applyFill="1" applyAlignment="1">
      <alignment horizontal="center" vertical="center"/>
    </xf>
    <xf numFmtId="0" fontId="74" fillId="3" borderId="0" xfId="0" applyFont="1" applyFill="1"/>
    <xf numFmtId="0" fontId="75" fillId="3" borderId="0" xfId="0" applyFont="1" applyFill="1"/>
    <xf numFmtId="4" fontId="70" fillId="3" borderId="0" xfId="0" applyNumberFormat="1" applyFont="1" applyFill="1"/>
    <xf numFmtId="165" fontId="60" fillId="4" borderId="60" xfId="0" applyNumberFormat="1" applyFont="1" applyFill="1" applyBorder="1" applyAlignment="1">
      <alignment horizontal="center" vertical="center" wrapText="1"/>
    </xf>
    <xf numFmtId="0" fontId="76" fillId="3" borderId="0" xfId="0" applyFont="1" applyFill="1" applyAlignment="1">
      <alignment horizontal="center"/>
    </xf>
    <xf numFmtId="0" fontId="71" fillId="3" borderId="0" xfId="0" applyFont="1" applyFill="1" applyAlignment="1">
      <alignment horizontal="center"/>
    </xf>
    <xf numFmtId="0" fontId="71" fillId="3" borderId="0" xfId="0" applyFont="1" applyFill="1"/>
    <xf numFmtId="2" fontId="73" fillId="3" borderId="0" xfId="0" applyNumberFormat="1" applyFont="1" applyFill="1" applyAlignment="1">
      <alignment vertical="center"/>
    </xf>
    <xf numFmtId="3" fontId="70" fillId="3" borderId="0" xfId="0" applyNumberFormat="1" applyFont="1" applyFill="1"/>
    <xf numFmtId="165" fontId="60" fillId="4" borderId="62" xfId="0" applyNumberFormat="1" applyFont="1" applyFill="1" applyBorder="1" applyAlignment="1">
      <alignment horizontal="center" vertical="center" wrapText="1"/>
    </xf>
    <xf numFmtId="0" fontId="70" fillId="3" borderId="6" xfId="0" applyFont="1" applyFill="1" applyBorder="1" applyAlignment="1">
      <alignment horizontal="center" vertical="center"/>
    </xf>
    <xf numFmtId="4" fontId="77" fillId="3" borderId="0" xfId="0" applyNumberFormat="1" applyFont="1" applyFill="1" applyAlignment="1">
      <alignment horizontal="center" vertical="center"/>
    </xf>
    <xf numFmtId="3" fontId="72" fillId="3" borderId="0" xfId="0" applyNumberFormat="1" applyFont="1" applyFill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15" fillId="3" borderId="0" xfId="0" applyFont="1" applyFill="1"/>
    <xf numFmtId="0" fontId="15" fillId="3" borderId="0" xfId="0" applyFont="1" applyFill="1" applyAlignment="1">
      <alignment vertical="center"/>
    </xf>
    <xf numFmtId="0" fontId="27" fillId="3" borderId="0" xfId="0" applyFont="1" applyFill="1"/>
    <xf numFmtId="0" fontId="45" fillId="3" borderId="0" xfId="0" applyFont="1" applyFill="1"/>
    <xf numFmtId="4" fontId="20" fillId="3" borderId="7" xfId="0" applyNumberFormat="1" applyFont="1" applyFill="1" applyBorder="1" applyAlignment="1">
      <alignment vertical="center"/>
    </xf>
    <xf numFmtId="175" fontId="11" fillId="6" borderId="47" xfId="0" applyNumberFormat="1" applyFont="1" applyFill="1" applyBorder="1" applyAlignment="1">
      <alignment horizontal="center" vertical="center"/>
    </xf>
    <xf numFmtId="164" fontId="27" fillId="4" borderId="0" xfId="0" applyNumberFormat="1" applyFont="1" applyFill="1" applyAlignment="1">
      <alignment horizontal="right"/>
    </xf>
    <xf numFmtId="164" fontId="45" fillId="4" borderId="0" xfId="0" applyNumberFormat="1" applyFont="1" applyFill="1" applyAlignment="1">
      <alignment horizontal="right"/>
    </xf>
    <xf numFmtId="0" fontId="14" fillId="3" borderId="6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14" fillId="3" borderId="24" xfId="0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4" fillId="6" borderId="2" xfId="0" applyFont="1" applyFill="1" applyBorder="1" applyAlignment="1">
      <alignment horizontal="center" vertical="center" wrapText="1"/>
    </xf>
    <xf numFmtId="0" fontId="14" fillId="6" borderId="56" xfId="0" applyFont="1" applyFill="1" applyBorder="1" applyAlignment="1">
      <alignment horizontal="center" vertical="center" wrapText="1"/>
    </xf>
    <xf numFmtId="3" fontId="24" fillId="6" borderId="28" xfId="0" applyNumberFormat="1" applyFont="1" applyFill="1" applyBorder="1" applyAlignment="1">
      <alignment horizontal="center" vertical="center"/>
    </xf>
    <xf numFmtId="3" fontId="24" fillId="6" borderId="31" xfId="0" applyNumberFormat="1" applyFont="1" applyFill="1" applyBorder="1" applyAlignment="1">
      <alignment horizontal="center" vertical="center"/>
    </xf>
    <xf numFmtId="164" fontId="28" fillId="6" borderId="22" xfId="0" applyNumberFormat="1" applyFont="1" applyFill="1" applyBorder="1" applyAlignment="1">
      <alignment horizontal="center" vertical="center"/>
    </xf>
    <xf numFmtId="164" fontId="28" fillId="6" borderId="29" xfId="0" applyNumberFormat="1" applyFont="1" applyFill="1" applyBorder="1" applyAlignment="1">
      <alignment horizontal="center" vertical="center"/>
    </xf>
    <xf numFmtId="164" fontId="28" fillId="6" borderId="23" xfId="0" applyNumberFormat="1" applyFont="1" applyFill="1" applyBorder="1" applyAlignment="1">
      <alignment horizontal="center" vertical="center"/>
    </xf>
    <xf numFmtId="3" fontId="29" fillId="6" borderId="28" xfId="0" applyNumberFormat="1" applyFont="1" applyFill="1" applyBorder="1" applyAlignment="1">
      <alignment horizontal="center" vertical="center" wrapText="1"/>
    </xf>
    <xf numFmtId="3" fontId="29" fillId="6" borderId="34" xfId="0" applyNumberFormat="1" applyFont="1" applyFill="1" applyBorder="1" applyAlignment="1">
      <alignment horizontal="center" vertical="center" wrapText="1"/>
    </xf>
    <xf numFmtId="3" fontId="29" fillId="6" borderId="31" xfId="0" applyNumberFormat="1" applyFont="1" applyFill="1" applyBorder="1" applyAlignment="1">
      <alignment horizontal="center" vertical="center" wrapText="1"/>
    </xf>
    <xf numFmtId="0" fontId="38" fillId="2" borderId="35" xfId="0" applyFont="1" applyFill="1" applyBorder="1" applyAlignment="1">
      <alignment horizontal="center" vertical="center" wrapText="1"/>
    </xf>
    <xf numFmtId="0" fontId="38" fillId="2" borderId="36" xfId="0" applyFont="1" applyFill="1" applyBorder="1" applyAlignment="1">
      <alignment horizontal="center" vertical="center" wrapText="1"/>
    </xf>
    <xf numFmtId="0" fontId="38" fillId="2" borderId="37" xfId="0" applyFont="1" applyFill="1" applyBorder="1" applyAlignment="1">
      <alignment horizontal="center" vertical="center" wrapText="1"/>
    </xf>
    <xf numFmtId="0" fontId="38" fillId="5" borderId="35" xfId="0" applyFont="1" applyFill="1" applyBorder="1" applyAlignment="1">
      <alignment horizontal="center" vertical="center" wrapText="1"/>
    </xf>
    <xf numFmtId="0" fontId="38" fillId="5" borderId="36" xfId="0" applyFont="1" applyFill="1" applyBorder="1" applyAlignment="1">
      <alignment horizontal="center" vertical="center" wrapText="1"/>
    </xf>
    <xf numFmtId="0" fontId="38" fillId="5" borderId="37" xfId="0" applyFont="1" applyFill="1" applyBorder="1" applyAlignment="1">
      <alignment horizontal="center" vertical="center" wrapText="1"/>
    </xf>
    <xf numFmtId="0" fontId="35" fillId="4" borderId="0" xfId="1" applyFont="1" applyFill="1" applyAlignment="1">
      <alignment horizontal="center"/>
    </xf>
    <xf numFmtId="0" fontId="65" fillId="4" borderId="70" xfId="1" applyFont="1" applyFill="1" applyBorder="1" applyAlignment="1">
      <alignment horizontal="center" vertical="center" wrapText="1"/>
    </xf>
    <xf numFmtId="0" fontId="38" fillId="4" borderId="0" xfId="0" applyFont="1" applyFill="1" applyAlignment="1">
      <alignment horizontal="center" vertical="center"/>
    </xf>
    <xf numFmtId="0" fontId="60" fillId="4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/>
    </xf>
    <xf numFmtId="0" fontId="38" fillId="4" borderId="0" xfId="0" applyFont="1" applyFill="1" applyAlignment="1">
      <alignment horizontal="center"/>
    </xf>
    <xf numFmtId="0" fontId="27" fillId="3" borderId="0" xfId="0" applyFont="1" applyFill="1" applyAlignment="1">
      <alignment horizontal="center" vertical="center"/>
    </xf>
    <xf numFmtId="170" fontId="27" fillId="3" borderId="0" xfId="0" applyNumberFormat="1" applyFont="1" applyFill="1" applyAlignment="1">
      <alignment vertical="center"/>
    </xf>
    <xf numFmtId="174" fontId="27" fillId="3" borderId="0" xfId="0" applyNumberFormat="1" applyFont="1" applyFill="1" applyAlignment="1">
      <alignment horizontal="center" vertical="center"/>
    </xf>
    <xf numFmtId="20" fontId="27" fillId="3" borderId="0" xfId="0" applyNumberFormat="1" applyFont="1" applyFill="1" applyAlignment="1">
      <alignment horizontal="center" vertical="center"/>
    </xf>
    <xf numFmtId="171" fontId="27" fillId="3" borderId="0" xfId="0" applyNumberFormat="1" applyFont="1" applyFill="1" applyAlignment="1">
      <alignment vertical="center"/>
    </xf>
    <xf numFmtId="172" fontId="27" fillId="3" borderId="0" xfId="0" applyNumberFormat="1" applyFont="1" applyFill="1" applyAlignment="1">
      <alignment vertical="center"/>
    </xf>
    <xf numFmtId="164" fontId="27" fillId="3" borderId="0" xfId="0" applyNumberFormat="1" applyFont="1" applyFill="1" applyAlignment="1">
      <alignment vertical="center"/>
    </xf>
    <xf numFmtId="165" fontId="50" fillId="3" borderId="0" xfId="0" applyNumberFormat="1" applyFont="1" applyFill="1" applyAlignment="1">
      <alignment vertical="center"/>
    </xf>
  </cellXfs>
  <cellStyles count="2">
    <cellStyle name="Link" xfId="1" builtinId="8"/>
    <cellStyle name="Standard" xfId="0" builtinId="0"/>
  </cellStyles>
  <dxfs count="205"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ont>
        <b/>
        <i val="0"/>
        <color rgb="FF00B050"/>
      </font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ont>
        <b/>
        <i/>
        <strike val="0"/>
      </font>
      <fill>
        <patternFill patternType="solid">
          <bgColor rgb="FF00B050"/>
        </patternFill>
      </fill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  <vertical/>
        <horizontal/>
      </border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ont>
        <b/>
        <i val="0"/>
        <color rgb="FF00B050"/>
      </font>
    </dxf>
    <dxf>
      <font>
        <color rgb="FFFF0000"/>
      </font>
    </dxf>
    <dxf>
      <font>
        <color rgb="FFFF0000"/>
      </font>
      <numFmt numFmtId="169" formatCode="0.0%"/>
    </dxf>
    <dxf>
      <font>
        <color rgb="FFFF0000"/>
      </font>
      <numFmt numFmtId="169" formatCode="0.0%"/>
    </dxf>
    <dxf>
      <numFmt numFmtId="169" formatCode="0.0%"/>
    </dxf>
    <dxf>
      <numFmt numFmtId="169" formatCode="0.0%"/>
    </dxf>
    <dxf>
      <numFmt numFmtId="169" formatCode="0.0%"/>
    </dxf>
    <dxf>
      <numFmt numFmtId="169" formatCode="0.0%"/>
    </dxf>
    <dxf>
      <numFmt numFmtId="169" formatCode="0.0%"/>
    </dxf>
    <dxf>
      <numFmt numFmtId="169" formatCode="0.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rgb="FFFFFF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fill>
        <patternFill patternType="solid">
          <fgColor indexed="64"/>
          <bgColor rgb="FFFFFF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/>
      </font>
      <numFmt numFmtId="3" formatCode="#,##0"/>
    </dxf>
    <dxf>
      <font>
        <b/>
      </font>
      <numFmt numFmtId="3" formatCode="#,##0"/>
    </dxf>
    <dxf>
      <font>
        <b/>
      </font>
      <numFmt numFmtId="3" formatCode="#,##0"/>
    </dxf>
    <dxf>
      <font>
        <b/>
      </font>
      <numFmt numFmtId="3" formatCode="#,##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</dxf>
    <dxf>
      <font>
        <i/>
      </font>
      <numFmt numFmtId="3" formatCode="#,##0"/>
    </dxf>
    <dxf>
      <font>
        <i/>
        <color auto="1"/>
      </font>
      <numFmt numFmtId="3" formatCode="#,##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3" formatCode="#,##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3" formatCode="#,##0"/>
    </dxf>
    <dxf>
      <font>
        <i/>
      </font>
      <numFmt numFmtId="3" formatCode="#,##0"/>
    </dxf>
    <dxf>
      <font>
        <i/>
      </font>
      <numFmt numFmtId="3" formatCode="#,##0"/>
    </dxf>
    <dxf>
      <font>
        <b/>
      </font>
      <numFmt numFmtId="3" formatCode="#,##0"/>
    </dxf>
    <dxf>
      <font>
        <b/>
      </font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ook Antiqua"/>
        <family val="1"/>
        <scheme val="none"/>
      </font>
      <numFmt numFmtId="4" formatCode="#,##0.00"/>
      <fill>
        <patternFill patternType="solid">
          <fgColor indexed="64"/>
          <bgColor theme="9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ook Antiqua"/>
        <family val="1"/>
        <scheme val="none"/>
      </font>
      <numFmt numFmtId="3" formatCode="#,##0"/>
      <fill>
        <patternFill patternType="solid">
          <fgColor indexed="64"/>
          <bgColor theme="9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ook Antiqua"/>
        <family val="1"/>
        <scheme val="none"/>
      </font>
      <numFmt numFmtId="3" formatCode="#,##0"/>
      <fill>
        <patternFill patternType="solid">
          <fgColor indexed="64"/>
          <bgColor theme="9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Book Antiqua"/>
        <family val="1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Book Antiqua"/>
        <family val="1"/>
        <scheme val="none"/>
      </font>
      <fill>
        <patternFill patternType="solid">
          <fgColor indexed="64"/>
          <bgColor theme="7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FFD0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r>
              <a:rPr lang="de-DE"/>
              <a:t>Aktueller Stand</a:t>
            </a:r>
          </a:p>
          <a:p>
            <a:pPr>
              <a:defRPr/>
            </a:pPr>
            <a:r>
              <a:rPr lang="de-DE"/>
              <a:t>und Prognose</a:t>
            </a:r>
          </a:p>
        </c:rich>
      </c:tx>
      <c:layout>
        <c:manualLayout>
          <c:xMode val="edge"/>
          <c:yMode val="edge"/>
          <c:x val="3.3915804085648725E-2"/>
          <c:y val="3.7917015689688211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0805541273050116E-2"/>
          <c:y val="0.10467574213818567"/>
          <c:w val="0.8597564327361924"/>
          <c:h val="0.76489625830237284"/>
        </c:manualLayout>
      </c:layout>
      <c:lineChart>
        <c:grouping val="standard"/>
        <c:varyColors val="0"/>
        <c:ser>
          <c:idx val="0"/>
          <c:order val="0"/>
          <c:tx>
            <c:v>€ Aktuelle Prognose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diamond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Pt>
            <c:idx val="1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1D-4E7C-A901-07F9DC28D58F}"/>
              </c:ext>
            </c:extLst>
          </c:dPt>
          <c:dPt>
            <c:idx val="2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1D-4E7C-A901-07F9DC28D58F}"/>
              </c:ext>
            </c:extLst>
          </c:dPt>
          <c:dPt>
            <c:idx val="3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345C-4DFA-BCD5-4E10FDFFA287}"/>
              </c:ext>
            </c:extLst>
          </c:dPt>
          <c:dPt>
            <c:idx val="4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345C-4DFA-BCD5-4E10FDFFA287}"/>
              </c:ext>
            </c:extLst>
          </c:dPt>
          <c:dPt>
            <c:idx val="5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A9F8-4BE4-8EC0-8951995938C7}"/>
              </c:ext>
            </c:extLst>
          </c:dPt>
          <c:dPt>
            <c:idx val="6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F965-4E08-BE9A-ADD25EFBBEC7}"/>
              </c:ext>
            </c:extLst>
          </c:dPt>
          <c:dPt>
            <c:idx val="7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63E3-4D13-BEE3-43175D8EED79}"/>
              </c:ext>
            </c:extLst>
          </c:dPt>
          <c:dPt>
            <c:idx val="8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1373-4E89-887C-AB62577DAB03}"/>
              </c:ext>
            </c:extLst>
          </c:dPt>
          <c:dPt>
            <c:idx val="9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247F-474B-83DC-E010778EED98}"/>
              </c:ext>
            </c:extLst>
          </c:dPt>
          <c:dPt>
            <c:idx val="10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8EF6-49FB-BAEE-A81E274CFA4B}"/>
              </c:ext>
            </c:extLst>
          </c:dPt>
          <c:dPt>
            <c:idx val="11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8318-46D3-891C-5BA48C71BC8C}"/>
              </c:ext>
            </c:extLst>
          </c:dPt>
          <c:dPt>
            <c:idx val="12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2871-4258-A346-ED9CED87CCB9}"/>
              </c:ext>
            </c:extLst>
          </c:dPt>
          <c:dPt>
            <c:idx val="13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4C21-4D07-9E04-8266454A5BFC}"/>
              </c:ext>
            </c:extLst>
          </c:dPt>
          <c:dPt>
            <c:idx val="14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848A-4F71-B0B5-27091CECA668}"/>
              </c:ext>
            </c:extLst>
          </c:dPt>
          <c:dPt>
            <c:idx val="15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DEAE-49DD-BE93-B3E85A714F87}"/>
              </c:ext>
            </c:extLst>
          </c:dPt>
          <c:dPt>
            <c:idx val="16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DEAE-49DD-BE93-B3E85A714F87}"/>
              </c:ext>
            </c:extLst>
          </c:dPt>
          <c:dPt>
            <c:idx val="17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DEAE-49DD-BE93-B3E85A714F87}"/>
              </c:ext>
            </c:extLst>
          </c:dPt>
          <c:dPt>
            <c:idx val="18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1FBE-4CDC-A9DE-15A4C96FD7CA}"/>
              </c:ext>
            </c:extLst>
          </c:dPt>
          <c:dPt>
            <c:idx val="19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4BBD-404F-9B37-31090D973CBD}"/>
              </c:ext>
            </c:extLst>
          </c:dPt>
          <c:dPt>
            <c:idx val="20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2CC9-4D27-9519-ACC4711C8F74}"/>
              </c:ext>
            </c:extLst>
          </c:dPt>
          <c:dPt>
            <c:idx val="21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D762-4271-B0FF-4E80CE67E4B4}"/>
              </c:ext>
            </c:extLst>
          </c:dPt>
          <c:dPt>
            <c:idx val="22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92E9-44F5-946D-8A216D011837}"/>
              </c:ext>
            </c:extLst>
          </c:dPt>
          <c:dPt>
            <c:idx val="23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92E9-44F5-946D-8A216D011837}"/>
              </c:ext>
            </c:extLst>
          </c:dPt>
          <c:dPt>
            <c:idx val="24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92E9-44F5-946D-8A216D011837}"/>
              </c:ext>
            </c:extLst>
          </c:dPt>
          <c:dPt>
            <c:idx val="25"/>
            <c:marker>
              <c:symbol val="diamond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92E9-44F5-946D-8A216D011837}"/>
              </c:ext>
            </c:extLst>
          </c:dPt>
          <c:cat>
            <c:strRef>
              <c:f>'DSK - Fasar'!$H$129:$H$150</c:f>
              <c:strCache>
                <c:ptCount val="22"/>
                <c:pt idx="0">
                  <c:v>20.01.2021, 16:00</c:v>
                </c:pt>
                <c:pt idx="1">
                  <c:v>21.01.2021, 16:00</c:v>
                </c:pt>
                <c:pt idx="2">
                  <c:v>22.01.2021, 16:00</c:v>
                </c:pt>
                <c:pt idx="3">
                  <c:v>23.01.2021, 16:00</c:v>
                </c:pt>
                <c:pt idx="4">
                  <c:v>24.01.2021, 16:00</c:v>
                </c:pt>
                <c:pt idx="5">
                  <c:v>25.01.2021, 16:00</c:v>
                </c:pt>
                <c:pt idx="6">
                  <c:v>26.01.2021, 16:00</c:v>
                </c:pt>
                <c:pt idx="7">
                  <c:v>27.01.2021, 16:00</c:v>
                </c:pt>
                <c:pt idx="8">
                  <c:v>28.01.2021, 16:00</c:v>
                </c:pt>
                <c:pt idx="9">
                  <c:v>29.01.2021, 16:00</c:v>
                </c:pt>
                <c:pt idx="10">
                  <c:v>30.01.2021, 16:00</c:v>
                </c:pt>
                <c:pt idx="11">
                  <c:v>31.01.2021, 16:00</c:v>
                </c:pt>
                <c:pt idx="12">
                  <c:v>01.02.2021, 16:00</c:v>
                </c:pt>
                <c:pt idx="13">
                  <c:v>02.02.2021, 16:00</c:v>
                </c:pt>
                <c:pt idx="14">
                  <c:v>03.02.2021, 16:00</c:v>
                </c:pt>
                <c:pt idx="15">
                  <c:v>04.02.2021, 16:00</c:v>
                </c:pt>
                <c:pt idx="16">
                  <c:v>05.02.2021, 16:00</c:v>
                </c:pt>
                <c:pt idx="17">
                  <c:v>06.02.2021, 16:00</c:v>
                </c:pt>
                <c:pt idx="18">
                  <c:v>07.02.2021, 16:00</c:v>
                </c:pt>
                <c:pt idx="19">
                  <c:v>08.02.2021, 16:00</c:v>
                </c:pt>
                <c:pt idx="20">
                  <c:v>09.02.2021, 16:00</c:v>
                </c:pt>
                <c:pt idx="21">
                  <c:v>10.02.2021, 20:00</c:v>
                </c:pt>
              </c:strCache>
            </c:strRef>
          </c:cat>
          <c:val>
            <c:numRef>
              <c:f>'DSK - Fasar'!$I$129:$I$150</c:f>
              <c:numCache>
                <c:formatCode>#,##0\ "€"</c:formatCode>
                <c:ptCount val="22"/>
                <c:pt idx="0" formatCode="#,##0.00\ &quot;€&quot;">
                  <c:v>0</c:v>
                </c:pt>
                <c:pt idx="1">
                  <c:v>36402</c:v>
                </c:pt>
                <c:pt idx="2">
                  <c:v>42659</c:v>
                </c:pt>
                <c:pt idx="3">
                  <c:v>45273</c:v>
                </c:pt>
                <c:pt idx="4">
                  <c:v>47957</c:v>
                </c:pt>
                <c:pt idx="5">
                  <c:v>50763</c:v>
                </c:pt>
                <c:pt idx="6">
                  <c:v>53829</c:v>
                </c:pt>
                <c:pt idx="7">
                  <c:v>55981</c:v>
                </c:pt>
                <c:pt idx="8">
                  <c:v>58795</c:v>
                </c:pt>
                <c:pt idx="9">
                  <c:v>63300</c:v>
                </c:pt>
                <c:pt idx="10">
                  <c:v>66650</c:v>
                </c:pt>
                <c:pt idx="11">
                  <c:v>69668</c:v>
                </c:pt>
                <c:pt idx="12">
                  <c:v>71286</c:v>
                </c:pt>
                <c:pt idx="13">
                  <c:v>74079</c:v>
                </c:pt>
                <c:pt idx="14">
                  <c:v>75411</c:v>
                </c:pt>
                <c:pt idx="15">
                  <c:v>77016</c:v>
                </c:pt>
                <c:pt idx="16">
                  <c:v>80049</c:v>
                </c:pt>
                <c:pt idx="17">
                  <c:v>86833</c:v>
                </c:pt>
                <c:pt idx="18">
                  <c:v>91974</c:v>
                </c:pt>
                <c:pt idx="19">
                  <c:v>101170</c:v>
                </c:pt>
                <c:pt idx="20">
                  <c:v>108862</c:v>
                </c:pt>
                <c:pt idx="21">
                  <c:v>123341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92E9-44F5-946D-8A216D011837}"/>
            </c:ext>
          </c:extLst>
        </c:ser>
        <c:ser>
          <c:idx val="2"/>
          <c:order val="1"/>
          <c:tx>
            <c:v>€ Erste Schätzung max.</c:v>
          </c:tx>
          <c:spPr>
            <a:ln w="28575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strRef>
              <c:f>'DSK - Fasar'!$H$129:$H$150</c:f>
              <c:strCache>
                <c:ptCount val="22"/>
                <c:pt idx="0">
                  <c:v>20.01.2021, 16:00</c:v>
                </c:pt>
                <c:pt idx="1">
                  <c:v>21.01.2021, 16:00</c:v>
                </c:pt>
                <c:pt idx="2">
                  <c:v>22.01.2021, 16:00</c:v>
                </c:pt>
                <c:pt idx="3">
                  <c:v>23.01.2021, 16:00</c:v>
                </c:pt>
                <c:pt idx="4">
                  <c:v>24.01.2021, 16:00</c:v>
                </c:pt>
                <c:pt idx="5">
                  <c:v>25.01.2021, 16:00</c:v>
                </c:pt>
                <c:pt idx="6">
                  <c:v>26.01.2021, 16:00</c:v>
                </c:pt>
                <c:pt idx="7">
                  <c:v>27.01.2021, 16:00</c:v>
                </c:pt>
                <c:pt idx="8">
                  <c:v>28.01.2021, 16:00</c:v>
                </c:pt>
                <c:pt idx="9">
                  <c:v>29.01.2021, 16:00</c:v>
                </c:pt>
                <c:pt idx="10">
                  <c:v>30.01.2021, 16:00</c:v>
                </c:pt>
                <c:pt idx="11">
                  <c:v>31.01.2021, 16:00</c:v>
                </c:pt>
                <c:pt idx="12">
                  <c:v>01.02.2021, 16:00</c:v>
                </c:pt>
                <c:pt idx="13">
                  <c:v>02.02.2021, 16:00</c:v>
                </c:pt>
                <c:pt idx="14">
                  <c:v>03.02.2021, 16:00</c:v>
                </c:pt>
                <c:pt idx="15">
                  <c:v>04.02.2021, 16:00</c:v>
                </c:pt>
                <c:pt idx="16">
                  <c:v>05.02.2021, 16:00</c:v>
                </c:pt>
                <c:pt idx="17">
                  <c:v>06.02.2021, 16:00</c:v>
                </c:pt>
                <c:pt idx="18">
                  <c:v>07.02.2021, 16:00</c:v>
                </c:pt>
                <c:pt idx="19">
                  <c:v>08.02.2021, 16:00</c:v>
                </c:pt>
                <c:pt idx="20">
                  <c:v>09.02.2021, 16:00</c:v>
                </c:pt>
                <c:pt idx="21">
                  <c:v>10.02.2021, 20:00</c:v>
                </c:pt>
              </c:strCache>
            </c:strRef>
          </c:cat>
          <c:val>
            <c:numRef>
              <c:f>'DSK - Fasar'!$K$129:$K$150</c:f>
              <c:numCache>
                <c:formatCode>#,##0\ "€"</c:formatCode>
                <c:ptCount val="22"/>
                <c:pt idx="0" formatCode="#,##0.00\ &quot;€&quot;">
                  <c:v>0</c:v>
                </c:pt>
                <c:pt idx="1">
                  <c:v>36402</c:v>
                </c:pt>
                <c:pt idx="2">
                  <c:v>42659</c:v>
                </c:pt>
                <c:pt idx="3">
                  <c:v>45273</c:v>
                </c:pt>
                <c:pt idx="4">
                  <c:v>50654.003249741581</c:v>
                </c:pt>
                <c:pt idx="5">
                  <c:v>53994.854247049341</c:v>
                </c:pt>
                <c:pt idx="6">
                  <c:v>55949.330546125879</c:v>
                </c:pt>
                <c:pt idx="7">
                  <c:v>60389.964219720183</c:v>
                </c:pt>
                <c:pt idx="8">
                  <c:v>65390.680465521451</c:v>
                </c:pt>
                <c:pt idx="9">
                  <c:v>68925.867663148005</c:v>
                </c:pt>
                <c:pt idx="10">
                  <c:v>76381.569032464875</c:v>
                </c:pt>
                <c:pt idx="11">
                  <c:v>81513.74167173772</c:v>
                </c:pt>
                <c:pt idx="12">
                  <c:v>86184.846901462544</c:v>
                </c:pt>
                <c:pt idx="13">
                  <c:v>88622.22681081621</c:v>
                </c:pt>
                <c:pt idx="14">
                  <c:v>91792.273298957996</c:v>
                </c:pt>
                <c:pt idx="15">
                  <c:v>96517.363047127888</c:v>
                </c:pt>
                <c:pt idx="16">
                  <c:v>102079.30222253129</c:v>
                </c:pt>
                <c:pt idx="17">
                  <c:v>107539.76482801876</c:v>
                </c:pt>
                <c:pt idx="18">
                  <c:v>114066.05997892532</c:v>
                </c:pt>
                <c:pt idx="19">
                  <c:v>122118.44671109384</c:v>
                </c:pt>
                <c:pt idx="20">
                  <c:v>132403.01019115865</c:v>
                </c:pt>
                <c:pt idx="21">
                  <c:v>170636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92E9-44F5-946D-8A216D011837}"/>
            </c:ext>
          </c:extLst>
        </c:ser>
        <c:ser>
          <c:idx val="3"/>
          <c:order val="2"/>
          <c:tx>
            <c:v>€ Erste Schätzung min.</c:v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circle"/>
            <c:size val="4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'DSK - Fasar'!$H$129:$H$150</c:f>
              <c:strCache>
                <c:ptCount val="22"/>
                <c:pt idx="0">
                  <c:v>20.01.2021, 16:00</c:v>
                </c:pt>
                <c:pt idx="1">
                  <c:v>21.01.2021, 16:00</c:v>
                </c:pt>
                <c:pt idx="2">
                  <c:v>22.01.2021, 16:00</c:v>
                </c:pt>
                <c:pt idx="3">
                  <c:v>23.01.2021, 16:00</c:v>
                </c:pt>
                <c:pt idx="4">
                  <c:v>24.01.2021, 16:00</c:v>
                </c:pt>
                <c:pt idx="5">
                  <c:v>25.01.2021, 16:00</c:v>
                </c:pt>
                <c:pt idx="6">
                  <c:v>26.01.2021, 16:00</c:v>
                </c:pt>
                <c:pt idx="7">
                  <c:v>27.01.2021, 16:00</c:v>
                </c:pt>
                <c:pt idx="8">
                  <c:v>28.01.2021, 16:00</c:v>
                </c:pt>
                <c:pt idx="9">
                  <c:v>29.01.2021, 16:00</c:v>
                </c:pt>
                <c:pt idx="10">
                  <c:v>30.01.2021, 16:00</c:v>
                </c:pt>
                <c:pt idx="11">
                  <c:v>31.01.2021, 16:00</c:v>
                </c:pt>
                <c:pt idx="12">
                  <c:v>01.02.2021, 16:00</c:v>
                </c:pt>
                <c:pt idx="13">
                  <c:v>02.02.2021, 16:00</c:v>
                </c:pt>
                <c:pt idx="14">
                  <c:v>03.02.2021, 16:00</c:v>
                </c:pt>
                <c:pt idx="15">
                  <c:v>04.02.2021, 16:00</c:v>
                </c:pt>
                <c:pt idx="16">
                  <c:v>05.02.2021, 16:00</c:v>
                </c:pt>
                <c:pt idx="17">
                  <c:v>06.02.2021, 16:00</c:v>
                </c:pt>
                <c:pt idx="18">
                  <c:v>07.02.2021, 16:00</c:v>
                </c:pt>
                <c:pt idx="19">
                  <c:v>08.02.2021, 16:00</c:v>
                </c:pt>
                <c:pt idx="20">
                  <c:v>09.02.2021, 16:00</c:v>
                </c:pt>
                <c:pt idx="21">
                  <c:v>10.02.2021, 20:00</c:v>
                </c:pt>
              </c:strCache>
            </c:strRef>
          </c:cat>
          <c:val>
            <c:numRef>
              <c:f>'DSK - Fasar'!$J$129:$J$150</c:f>
              <c:numCache>
                <c:formatCode>#,##0\ "€"</c:formatCode>
                <c:ptCount val="22"/>
                <c:pt idx="0" formatCode="#,##0.00\ &quot;€&quot;">
                  <c:v>0</c:v>
                </c:pt>
                <c:pt idx="1">
                  <c:v>36402</c:v>
                </c:pt>
                <c:pt idx="2">
                  <c:v>42659</c:v>
                </c:pt>
                <c:pt idx="3">
                  <c:v>45273</c:v>
                </c:pt>
                <c:pt idx="4">
                  <c:v>49308.752437306182</c:v>
                </c:pt>
                <c:pt idx="5">
                  <c:v>51814.390685287006</c:v>
                </c:pt>
                <c:pt idx="6">
                  <c:v>53280.247909594407</c:v>
                </c:pt>
                <c:pt idx="7">
                  <c:v>56610.723164790135</c:v>
                </c:pt>
                <c:pt idx="8">
                  <c:v>60361.260349141085</c:v>
                </c:pt>
                <c:pt idx="9">
                  <c:v>63012.650747361004</c:v>
                </c:pt>
                <c:pt idx="10">
                  <c:v>68604.426774348656</c:v>
                </c:pt>
                <c:pt idx="11">
                  <c:v>72453.556253803297</c:v>
                </c:pt>
                <c:pt idx="12">
                  <c:v>75956.885176096912</c:v>
                </c:pt>
                <c:pt idx="13">
                  <c:v>77784.920108112157</c:v>
                </c:pt>
                <c:pt idx="14">
                  <c:v>80162.45497421849</c:v>
                </c:pt>
                <c:pt idx="15">
                  <c:v>83706.272285345913</c:v>
                </c:pt>
                <c:pt idx="16">
                  <c:v>87877.726666898467</c:v>
                </c:pt>
                <c:pt idx="17">
                  <c:v>91973.07362101406</c:v>
                </c:pt>
                <c:pt idx="18">
                  <c:v>96867.794984193984</c:v>
                </c:pt>
                <c:pt idx="19">
                  <c:v>102907.08503332039</c:v>
                </c:pt>
                <c:pt idx="20">
                  <c:v>110620.507643369</c:v>
                </c:pt>
                <c:pt idx="21">
                  <c:v>127977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92E9-44F5-946D-8A216D011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141632"/>
        <c:axId val="514139008"/>
      </c:lineChart>
      <c:catAx>
        <c:axId val="514141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de-DE"/>
          </a:p>
        </c:txPr>
        <c:crossAx val="514139008"/>
        <c:crosses val="autoZero"/>
        <c:auto val="0"/>
        <c:lblAlgn val="ctr"/>
        <c:lblOffset val="100"/>
        <c:noMultiLvlLbl val="0"/>
      </c:catAx>
      <c:valAx>
        <c:axId val="514139008"/>
        <c:scaling>
          <c:orientation val="minMax"/>
          <c:max val="17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\ &quot;T€&quot;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de-DE"/>
          </a:p>
        </c:txPr>
        <c:crossAx val="514141632"/>
        <c:crossesAt val="43874"/>
        <c:crossBetween val="midCat"/>
        <c:majorUnit val="10000"/>
        <c:minorUnit val="500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6321150951075795"/>
          <c:y val="3.0748167837728161E-2"/>
          <c:w val="0.6209358848848715"/>
          <c:h val="4.4526544682715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Book Antiqua" panose="0204060205030503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Vergleich!$C$2</c:f>
              <c:strCache>
                <c:ptCount val="1"/>
                <c:pt idx="0">
                  <c:v>Aventuria (€)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Vergleich!$C$3:$C$24</c:f>
              <c:numCache>
                <c:formatCode>#,##0</c:formatCode>
                <c:ptCount val="22"/>
                <c:pt idx="0">
                  <c:v>0</c:v>
                </c:pt>
                <c:pt idx="1">
                  <c:v>14771</c:v>
                </c:pt>
                <c:pt idx="2">
                  <c:v>16764</c:v>
                </c:pt>
                <c:pt idx="3">
                  <c:v>17674</c:v>
                </c:pt>
                <c:pt idx="4">
                  <c:v>18881</c:v>
                </c:pt>
                <c:pt idx="5">
                  <c:v>21886</c:v>
                </c:pt>
                <c:pt idx="6">
                  <c:v>22571</c:v>
                </c:pt>
                <c:pt idx="7">
                  <c:v>24180</c:v>
                </c:pt>
                <c:pt idx="8">
                  <c:v>26679</c:v>
                </c:pt>
                <c:pt idx="9">
                  <c:v>27868</c:v>
                </c:pt>
                <c:pt idx="10">
                  <c:v>31587</c:v>
                </c:pt>
                <c:pt idx="11">
                  <c:v>34703</c:v>
                </c:pt>
                <c:pt idx="12">
                  <c:v>36986</c:v>
                </c:pt>
                <c:pt idx="13">
                  <c:v>37704</c:v>
                </c:pt>
                <c:pt idx="14">
                  <c:v>38541</c:v>
                </c:pt>
                <c:pt idx="15">
                  <c:v>40401</c:v>
                </c:pt>
                <c:pt idx="16">
                  <c:v>42277</c:v>
                </c:pt>
                <c:pt idx="17">
                  <c:v>44039</c:v>
                </c:pt>
                <c:pt idx="18">
                  <c:v>46661</c:v>
                </c:pt>
                <c:pt idx="19">
                  <c:v>49576</c:v>
                </c:pt>
                <c:pt idx="20">
                  <c:v>54612</c:v>
                </c:pt>
                <c:pt idx="21">
                  <c:v>62345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51-40A9-B8C8-DD6E3F7C80B9}"/>
            </c:ext>
          </c:extLst>
        </c:ser>
        <c:ser>
          <c:idx val="3"/>
          <c:order val="2"/>
          <c:tx>
            <c:strRef>
              <c:f>Vergleich!$E$2</c:f>
              <c:strCache>
                <c:ptCount val="1"/>
                <c:pt idx="0">
                  <c:v>Thorwal norm (€)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Vergleich!$E$3:$E$24</c:f>
              <c:numCache>
                <c:formatCode>#,##0</c:formatCode>
                <c:ptCount val="22"/>
                <c:pt idx="0">
                  <c:v>0</c:v>
                </c:pt>
                <c:pt idx="1">
                  <c:v>15220.890095815445</c:v>
                </c:pt>
                <c:pt idx="2">
                  <c:v>16625.895335429177</c:v>
                </c:pt>
                <c:pt idx="3">
                  <c:v>18030.90057504291</c:v>
                </c:pt>
                <c:pt idx="4">
                  <c:v>19435.905814656642</c:v>
                </c:pt>
                <c:pt idx="5">
                  <c:v>20840.911054270375</c:v>
                </c:pt>
                <c:pt idx="6">
                  <c:v>22245.916293884107</c:v>
                </c:pt>
                <c:pt idx="7">
                  <c:v>23650.92153349784</c:v>
                </c:pt>
                <c:pt idx="8">
                  <c:v>25055.926773111572</c:v>
                </c:pt>
                <c:pt idx="9">
                  <c:v>26460.932012725305</c:v>
                </c:pt>
                <c:pt idx="10">
                  <c:v>27865.937252339038</c:v>
                </c:pt>
                <c:pt idx="11">
                  <c:v>29270.942491952781</c:v>
                </c:pt>
                <c:pt idx="12">
                  <c:v>32578.348242757504</c:v>
                </c:pt>
                <c:pt idx="13">
                  <c:v>35885.753993562226</c:v>
                </c:pt>
                <c:pt idx="14">
                  <c:v>39193.159744366945</c:v>
                </c:pt>
                <c:pt idx="15">
                  <c:v>42500.565495171664</c:v>
                </c:pt>
                <c:pt idx="16">
                  <c:v>45807.971245976383</c:v>
                </c:pt>
                <c:pt idx="17">
                  <c:v>49115.376996781102</c:v>
                </c:pt>
                <c:pt idx="18">
                  <c:v>52422.782747585821</c:v>
                </c:pt>
                <c:pt idx="19">
                  <c:v>55730.18849839054</c:v>
                </c:pt>
                <c:pt idx="20">
                  <c:v>59037.594249195259</c:v>
                </c:pt>
                <c:pt idx="21">
                  <c:v>62345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51-40A9-B8C8-DD6E3F7C80B9}"/>
            </c:ext>
          </c:extLst>
        </c:ser>
        <c:ser>
          <c:idx val="5"/>
          <c:order val="4"/>
          <c:tx>
            <c:strRef>
              <c:f>Vergleich!$G$2</c:f>
              <c:strCache>
                <c:ptCount val="1"/>
                <c:pt idx="0">
                  <c:v>Werkzeuge norm (€)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Vergleich!$G$3:$G$24</c:f>
              <c:numCache>
                <c:formatCode>#,##0</c:formatCode>
                <c:ptCount val="22"/>
                <c:pt idx="0">
                  <c:v>0</c:v>
                </c:pt>
                <c:pt idx="1">
                  <c:v>15879.347283058034</c:v>
                </c:pt>
                <c:pt idx="2">
                  <c:v>18103.852387402443</c:v>
                </c:pt>
                <c:pt idx="3">
                  <c:v>19704.691804316852</c:v>
                </c:pt>
                <c:pt idx="4">
                  <c:v>21920.78875461033</c:v>
                </c:pt>
                <c:pt idx="5">
                  <c:v>23073.071431503275</c:v>
                </c:pt>
                <c:pt idx="6">
                  <c:v>23816.279135222616</c:v>
                </c:pt>
                <c:pt idx="7">
                  <c:v>25452.213456001784</c:v>
                </c:pt>
                <c:pt idx="8">
                  <c:v>26607.420708216792</c:v>
                </c:pt>
                <c:pt idx="9">
                  <c:v>28001.711993010478</c:v>
                </c:pt>
                <c:pt idx="10">
                  <c:v>29730.867152180414</c:v>
                </c:pt>
                <c:pt idx="11">
                  <c:v>30365.134425152894</c:v>
                </c:pt>
                <c:pt idx="12">
                  <c:v>31495.482787130364</c:v>
                </c:pt>
                <c:pt idx="13">
                  <c:v>32558.56591670038</c:v>
                </c:pt>
                <c:pt idx="14">
                  <c:v>34038.035457749167</c:v>
                </c:pt>
                <c:pt idx="15">
                  <c:v>35630.832292527899</c:v>
                </c:pt>
                <c:pt idx="16">
                  <c:v>37819.145777261772</c:v>
                </c:pt>
                <c:pt idx="17">
                  <c:v>40047.306600758762</c:v>
                </c:pt>
                <c:pt idx="18">
                  <c:v>42194.310459068496</c:v>
                </c:pt>
                <c:pt idx="19">
                  <c:v>45163.485554793275</c:v>
                </c:pt>
                <c:pt idx="20">
                  <c:v>47642.79428407245</c:v>
                </c:pt>
                <c:pt idx="21">
                  <c:v>62345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51-40A9-B8C8-DD6E3F7C80B9}"/>
            </c:ext>
          </c:extLst>
        </c:ser>
        <c:ser>
          <c:idx val="0"/>
          <c:order val="6"/>
          <c:tx>
            <c:strRef>
              <c:f>Vergleich!$I$2</c:f>
              <c:strCache>
                <c:ptCount val="1"/>
                <c:pt idx="0">
                  <c:v>Mythos norm (€)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Vergleich!$I$3:$I$24</c:f>
              <c:numCache>
                <c:formatCode>#,##0</c:formatCode>
                <c:ptCount val="22"/>
                <c:pt idx="0">
                  <c:v>0</c:v>
                </c:pt>
                <c:pt idx="1">
                  <c:v>8008.0810450070085</c:v>
                </c:pt>
                <c:pt idx="2">
                  <c:v>16016.162090014017</c:v>
                </c:pt>
                <c:pt idx="3">
                  <c:v>24024.243135021028</c:v>
                </c:pt>
                <c:pt idx="4">
                  <c:v>26153.174071964302</c:v>
                </c:pt>
                <c:pt idx="5">
                  <c:v>28282.10500890758</c:v>
                </c:pt>
                <c:pt idx="6">
                  <c:v>30411.035945850857</c:v>
                </c:pt>
                <c:pt idx="7">
                  <c:v>32539.966882794135</c:v>
                </c:pt>
                <c:pt idx="8">
                  <c:v>34668.897819737409</c:v>
                </c:pt>
                <c:pt idx="9">
                  <c:v>36797.828756680683</c:v>
                </c:pt>
                <c:pt idx="10">
                  <c:v>38926.759693623957</c:v>
                </c:pt>
                <c:pt idx="11">
                  <c:v>41055.690630567231</c:v>
                </c:pt>
                <c:pt idx="12">
                  <c:v>43184.621567510505</c:v>
                </c:pt>
                <c:pt idx="13">
                  <c:v>45313.552504453779</c:v>
                </c:pt>
                <c:pt idx="14">
                  <c:v>47442.483441397053</c:v>
                </c:pt>
                <c:pt idx="15">
                  <c:v>49571.414378340327</c:v>
                </c:pt>
                <c:pt idx="16">
                  <c:v>51700.345315283601</c:v>
                </c:pt>
                <c:pt idx="17">
                  <c:v>53829.276252226875</c:v>
                </c:pt>
                <c:pt idx="18">
                  <c:v>55958.207189170149</c:v>
                </c:pt>
                <c:pt idx="19">
                  <c:v>58087.138126113423</c:v>
                </c:pt>
                <c:pt idx="20">
                  <c:v>60216.069063056697</c:v>
                </c:pt>
                <c:pt idx="21">
                  <c:v>62345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51-40A9-B8C8-DD6E3F7C80B9}"/>
            </c:ext>
          </c:extLst>
        </c:ser>
        <c:ser>
          <c:idx val="8"/>
          <c:order val="9"/>
          <c:tx>
            <c:strRef>
              <c:f>Vergleich!$K$2</c:f>
              <c:strCache>
                <c:ptCount val="1"/>
                <c:pt idx="0">
                  <c:v>DSK norm (€)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val>
            <c:numRef>
              <c:f>Vergleich!$K$3:$K$24</c:f>
              <c:numCache>
                <c:formatCode>#,##0</c:formatCode>
                <c:ptCount val="22"/>
                <c:pt idx="0">
                  <c:v>0</c:v>
                </c:pt>
                <c:pt idx="1">
                  <c:v>18400.067212038171</c:v>
                </c:pt>
                <c:pt idx="2">
                  <c:v>21562.784110717443</c:v>
                </c:pt>
                <c:pt idx="3">
                  <c:v>22884.078976171753</c:v>
                </c:pt>
                <c:pt idx="4">
                  <c:v>24240.75664215468</c:v>
                </c:pt>
                <c:pt idx="5">
                  <c:v>25659.10147477319</c:v>
                </c:pt>
                <c:pt idx="6">
                  <c:v>27208.868137926562</c:v>
                </c:pt>
                <c:pt idx="7">
                  <c:v>28296.636519892007</c:v>
                </c:pt>
                <c:pt idx="8">
                  <c:v>29719.025101142361</c:v>
                </c:pt>
                <c:pt idx="9">
                  <c:v>31996.161049448281</c:v>
                </c:pt>
                <c:pt idx="10">
                  <c:v>33689.48078903203</c:v>
                </c:pt>
                <c:pt idx="11">
                  <c:v>35214.984960394358</c:v>
                </c:pt>
                <c:pt idx="12">
                  <c:v>36032.833121184362</c:v>
                </c:pt>
                <c:pt idx="13">
                  <c:v>37444.60686227613</c:v>
                </c:pt>
                <c:pt idx="14">
                  <c:v>38117.891009477789</c:v>
                </c:pt>
                <c:pt idx="15">
                  <c:v>38929.168078741051</c:v>
                </c:pt>
                <c:pt idx="16">
                  <c:v>40462.254278788074</c:v>
                </c:pt>
                <c:pt idx="17">
                  <c:v>43891.353118589919</c:v>
                </c:pt>
                <c:pt idx="18">
                  <c:v>46489.967083127267</c:v>
                </c:pt>
                <c:pt idx="19">
                  <c:v>51138.256135429416</c:v>
                </c:pt>
                <c:pt idx="20">
                  <c:v>55026.320444945311</c:v>
                </c:pt>
                <c:pt idx="21">
                  <c:v>62345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251-40A9-B8C8-DD6E3F7C8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644864"/>
        <c:axId val="502641912"/>
      </c:lineChart>
      <c:lineChart>
        <c:grouping val="standard"/>
        <c:varyColors val="0"/>
        <c:ser>
          <c:idx val="2"/>
          <c:order val="1"/>
          <c:tx>
            <c:strRef>
              <c:f>Vergleich!$D$2</c:f>
              <c:strCache>
                <c:ptCount val="1"/>
                <c:pt idx="0">
                  <c:v>Aventuria (Backer)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Vergleich!$D$3:$D$24</c:f>
              <c:numCache>
                <c:formatCode>#,##0</c:formatCode>
                <c:ptCount val="22"/>
                <c:pt idx="0">
                  <c:v>0</c:v>
                </c:pt>
                <c:pt idx="1">
                  <c:v>73</c:v>
                </c:pt>
                <c:pt idx="2">
                  <c:v>82</c:v>
                </c:pt>
                <c:pt idx="3">
                  <c:v>90</c:v>
                </c:pt>
                <c:pt idx="4">
                  <c:v>95</c:v>
                </c:pt>
                <c:pt idx="5">
                  <c:v>111</c:v>
                </c:pt>
                <c:pt idx="6">
                  <c:v>114.99999999999999</c:v>
                </c:pt>
                <c:pt idx="7">
                  <c:v>124</c:v>
                </c:pt>
                <c:pt idx="8">
                  <c:v>136</c:v>
                </c:pt>
                <c:pt idx="9">
                  <c:v>142</c:v>
                </c:pt>
                <c:pt idx="10">
                  <c:v>161</c:v>
                </c:pt>
                <c:pt idx="11">
                  <c:v>178</c:v>
                </c:pt>
                <c:pt idx="12">
                  <c:v>193</c:v>
                </c:pt>
                <c:pt idx="13">
                  <c:v>197</c:v>
                </c:pt>
                <c:pt idx="14">
                  <c:v>205</c:v>
                </c:pt>
                <c:pt idx="15">
                  <c:v>214</c:v>
                </c:pt>
                <c:pt idx="16">
                  <c:v>224</c:v>
                </c:pt>
                <c:pt idx="17">
                  <c:v>233</c:v>
                </c:pt>
                <c:pt idx="18">
                  <c:v>250</c:v>
                </c:pt>
                <c:pt idx="19">
                  <c:v>267</c:v>
                </c:pt>
                <c:pt idx="20">
                  <c:v>300</c:v>
                </c:pt>
                <c:pt idx="21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51-40A9-B8C8-DD6E3F7C80B9}"/>
            </c:ext>
          </c:extLst>
        </c:ser>
        <c:ser>
          <c:idx val="4"/>
          <c:order val="3"/>
          <c:tx>
            <c:strRef>
              <c:f>Vergleich!$F$2</c:f>
              <c:strCache>
                <c:ptCount val="1"/>
                <c:pt idx="0">
                  <c:v>Thorwal norm (Backer)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Vergleich!$F$3:$F$24</c:f>
              <c:numCache>
                <c:formatCode>#,##0</c:formatCode>
                <c:ptCount val="22"/>
                <c:pt idx="0">
                  <c:v>0</c:v>
                </c:pt>
                <c:pt idx="1">
                  <c:v>110.36895674300254</c:v>
                </c:pt>
                <c:pt idx="2">
                  <c:v>119.19847328244275</c:v>
                </c:pt>
                <c:pt idx="3">
                  <c:v>128.02798982188295</c:v>
                </c:pt>
                <c:pt idx="4">
                  <c:v>136.85750636132315</c:v>
                </c:pt>
                <c:pt idx="5">
                  <c:v>145.68702290076334</c:v>
                </c:pt>
                <c:pt idx="6">
                  <c:v>154.51653944020353</c:v>
                </c:pt>
                <c:pt idx="7">
                  <c:v>163.34605597964372</c:v>
                </c:pt>
                <c:pt idx="8">
                  <c:v>172.17557251908391</c:v>
                </c:pt>
                <c:pt idx="9">
                  <c:v>181.00508905852411</c:v>
                </c:pt>
                <c:pt idx="10">
                  <c:v>189.8346055979643</c:v>
                </c:pt>
                <c:pt idx="11">
                  <c:v>198.66412213740458</c:v>
                </c:pt>
                <c:pt idx="12">
                  <c:v>213.4977099236641</c:v>
                </c:pt>
                <c:pt idx="13">
                  <c:v>228.33129770992366</c:v>
                </c:pt>
                <c:pt idx="14">
                  <c:v>243.16488549618322</c:v>
                </c:pt>
                <c:pt idx="15">
                  <c:v>257.99847328244277</c:v>
                </c:pt>
                <c:pt idx="16">
                  <c:v>272.83206106870233</c:v>
                </c:pt>
                <c:pt idx="17">
                  <c:v>287.66564885496189</c:v>
                </c:pt>
                <c:pt idx="18">
                  <c:v>302.49923664122144</c:v>
                </c:pt>
                <c:pt idx="19">
                  <c:v>317.332824427481</c:v>
                </c:pt>
                <c:pt idx="20">
                  <c:v>332.16641221374056</c:v>
                </c:pt>
                <c:pt idx="21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51-40A9-B8C8-DD6E3F7C80B9}"/>
            </c:ext>
          </c:extLst>
        </c:ser>
        <c:ser>
          <c:idx val="6"/>
          <c:order val="5"/>
          <c:tx>
            <c:strRef>
              <c:f>Vergleich!$H$2</c:f>
              <c:strCache>
                <c:ptCount val="1"/>
                <c:pt idx="0">
                  <c:v>Werkzeuge norm (Backer)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Vergleich!$H$3:$H$24</c:f>
              <c:numCache>
                <c:formatCode>#,##0</c:formatCode>
                <c:ptCount val="22"/>
                <c:pt idx="0">
                  <c:v>0</c:v>
                </c:pt>
                <c:pt idx="1">
                  <c:v>82.160052910052912</c:v>
                </c:pt>
                <c:pt idx="2">
                  <c:v>94.55291005291005</c:v>
                </c:pt>
                <c:pt idx="3">
                  <c:v>102.81481481481481</c:v>
                </c:pt>
                <c:pt idx="4">
                  <c:v>113.37169312169313</c:v>
                </c:pt>
                <c:pt idx="5">
                  <c:v>121.17460317460316</c:v>
                </c:pt>
                <c:pt idx="6">
                  <c:v>125.76455026455027</c:v>
                </c:pt>
                <c:pt idx="7">
                  <c:v>135.40343915343917</c:v>
                </c:pt>
                <c:pt idx="8">
                  <c:v>141.37037037037035</c:v>
                </c:pt>
                <c:pt idx="9">
                  <c:v>151.00925925925927</c:v>
                </c:pt>
                <c:pt idx="10">
                  <c:v>160.64814814814815</c:v>
                </c:pt>
                <c:pt idx="11">
                  <c:v>163.40211640211641</c:v>
                </c:pt>
                <c:pt idx="12">
                  <c:v>170.28703703703704</c:v>
                </c:pt>
                <c:pt idx="13">
                  <c:v>177.17195767195767</c:v>
                </c:pt>
                <c:pt idx="14">
                  <c:v>184.97486772486772</c:v>
                </c:pt>
                <c:pt idx="15">
                  <c:v>193.69576719576722</c:v>
                </c:pt>
                <c:pt idx="16">
                  <c:v>204.25264550264549</c:v>
                </c:pt>
                <c:pt idx="17">
                  <c:v>216.18650793650795</c:v>
                </c:pt>
                <c:pt idx="18">
                  <c:v>229.95634920634919</c:v>
                </c:pt>
                <c:pt idx="19">
                  <c:v>246.48015873015873</c:v>
                </c:pt>
                <c:pt idx="20">
                  <c:v>264.38095238095235</c:v>
                </c:pt>
                <c:pt idx="21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51-40A9-B8C8-DD6E3F7C80B9}"/>
            </c:ext>
          </c:extLst>
        </c:ser>
        <c:ser>
          <c:idx val="7"/>
          <c:order val="7"/>
          <c:tx>
            <c:strRef>
              <c:f>Vergleich!$J$2</c:f>
              <c:strCache>
                <c:ptCount val="1"/>
                <c:pt idx="0">
                  <c:v>Mythos norm (Backer)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Vergleich!$J$3:$J$24</c:f>
              <c:numCache>
                <c:formatCode>#,##0</c:formatCode>
                <c:ptCount val="22"/>
                <c:pt idx="0">
                  <c:v>0</c:v>
                </c:pt>
                <c:pt idx="1">
                  <c:v>48.804500703234879</c:v>
                </c:pt>
                <c:pt idx="2">
                  <c:v>97.609001406469758</c:v>
                </c:pt>
                <c:pt idx="3">
                  <c:v>146.41350210970464</c:v>
                </c:pt>
                <c:pt idx="4">
                  <c:v>157.55719643694326</c:v>
                </c:pt>
                <c:pt idx="5">
                  <c:v>168.70089076418188</c:v>
                </c:pt>
                <c:pt idx="6">
                  <c:v>179.84458509142053</c:v>
                </c:pt>
                <c:pt idx="7">
                  <c:v>190.98827941865915</c:v>
                </c:pt>
                <c:pt idx="8">
                  <c:v>202.13197374589777</c:v>
                </c:pt>
                <c:pt idx="9">
                  <c:v>213.27566807313639</c:v>
                </c:pt>
                <c:pt idx="10">
                  <c:v>224.41936240037501</c:v>
                </c:pt>
                <c:pt idx="11">
                  <c:v>235.56305672761363</c:v>
                </c:pt>
                <c:pt idx="12">
                  <c:v>246.70675105485225</c:v>
                </c:pt>
                <c:pt idx="13">
                  <c:v>257.85044538209087</c:v>
                </c:pt>
                <c:pt idx="14">
                  <c:v>268.99413970932949</c:v>
                </c:pt>
                <c:pt idx="15">
                  <c:v>280.13783403656817</c:v>
                </c:pt>
                <c:pt idx="16">
                  <c:v>291.28152836380679</c:v>
                </c:pt>
                <c:pt idx="17">
                  <c:v>302.42522269104546</c:v>
                </c:pt>
                <c:pt idx="18">
                  <c:v>313.56891701828408</c:v>
                </c:pt>
                <c:pt idx="19">
                  <c:v>324.71261134552276</c:v>
                </c:pt>
                <c:pt idx="20">
                  <c:v>335.85630567276144</c:v>
                </c:pt>
                <c:pt idx="21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51-40A9-B8C8-DD6E3F7C80B9}"/>
            </c:ext>
          </c:extLst>
        </c:ser>
        <c:ser>
          <c:idx val="9"/>
          <c:order val="8"/>
          <c:tx>
            <c:strRef>
              <c:f>Vergleich!$L$2</c:f>
              <c:strCache>
                <c:ptCount val="1"/>
                <c:pt idx="0">
                  <c:v>DSK norm (Backer)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Vergleich!$L$3:$L$24</c:f>
              <c:numCache>
                <c:formatCode>#,##0</c:formatCode>
                <c:ptCount val="22"/>
                <c:pt idx="0">
                  <c:v>0</c:v>
                </c:pt>
                <c:pt idx="1">
                  <c:v>103.46330275229357</c:v>
                </c:pt>
                <c:pt idx="2">
                  <c:v>123.62538226299695</c:v>
                </c:pt>
                <c:pt idx="3">
                  <c:v>131.58409785932722</c:v>
                </c:pt>
                <c:pt idx="4">
                  <c:v>140.07339449541286</c:v>
                </c:pt>
                <c:pt idx="5">
                  <c:v>148.56269113149847</c:v>
                </c:pt>
                <c:pt idx="6">
                  <c:v>155.99082568807341</c:v>
                </c:pt>
                <c:pt idx="7">
                  <c:v>163.4189602446483</c:v>
                </c:pt>
                <c:pt idx="8">
                  <c:v>172.43883792048928</c:v>
                </c:pt>
                <c:pt idx="9">
                  <c:v>185.70336391437311</c:v>
                </c:pt>
                <c:pt idx="10">
                  <c:v>195.78440366972475</c:v>
                </c:pt>
                <c:pt idx="11">
                  <c:v>204.80428134556576</c:v>
                </c:pt>
                <c:pt idx="12">
                  <c:v>209.57951070336389</c:v>
                </c:pt>
                <c:pt idx="13">
                  <c:v>217.5382262996942</c:v>
                </c:pt>
                <c:pt idx="14">
                  <c:v>221.25229357798165</c:v>
                </c:pt>
                <c:pt idx="15">
                  <c:v>226.55810397553518</c:v>
                </c:pt>
                <c:pt idx="16">
                  <c:v>235.57798165137615</c:v>
                </c:pt>
                <c:pt idx="17">
                  <c:v>258.39296636085629</c:v>
                </c:pt>
                <c:pt idx="18">
                  <c:v>272.71865443425077</c:v>
                </c:pt>
                <c:pt idx="19">
                  <c:v>291.28899082568807</c:v>
                </c:pt>
                <c:pt idx="20">
                  <c:v>309.85932721712538</c:v>
                </c:pt>
                <c:pt idx="21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51-40A9-B8C8-DD6E3F7C8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508600"/>
        <c:axId val="568508928"/>
      </c:lineChart>
      <c:catAx>
        <c:axId val="50264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02641912"/>
        <c:crosses val="autoZero"/>
        <c:auto val="1"/>
        <c:lblAlgn val="ctr"/>
        <c:lblOffset val="100"/>
        <c:noMultiLvlLbl val="0"/>
      </c:catAx>
      <c:valAx>
        <c:axId val="502641912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02644864"/>
        <c:crosses val="autoZero"/>
        <c:crossBetween val="between"/>
        <c:majorUnit val="5000"/>
      </c:valAx>
      <c:valAx>
        <c:axId val="568508928"/>
        <c:scaling>
          <c:orientation val="minMax"/>
          <c:max val="70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68508600"/>
        <c:crosses val="max"/>
        <c:crossBetween val="between"/>
        <c:majorUnit val="50"/>
      </c:valAx>
      <c:catAx>
        <c:axId val="568508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68508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hyperlink" Target="https://hinterdemauge.blogspot.com/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hyperlink" Target="https://www.gameontabletop.com/cf433/die-schwarze-katze-fasar-bruchiger-frieden.html" TargetMode="External"/><Relationship Id="rId4" Type="http://schemas.openxmlformats.org/officeDocument/2006/relationships/image" Target="../media/image4.png"/><Relationship Id="rId9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124501</xdr:colOff>
      <xdr:row>7</xdr:row>
      <xdr:rowOff>351176</xdr:rowOff>
    </xdr:from>
    <xdr:to>
      <xdr:col>13</xdr:col>
      <xdr:colOff>436230</xdr:colOff>
      <xdr:row>7</xdr:row>
      <xdr:rowOff>662905</xdr:rowOff>
    </xdr:to>
    <xdr:pic>
      <xdr:nvPicPr>
        <xdr:cNvPr id="5" name="Grafik 4" descr="campaign image 7">
          <a:extLst>
            <a:ext uri="{FF2B5EF4-FFF2-40B4-BE49-F238E27FC236}">
              <a16:creationId xmlns:a16="http://schemas.microsoft.com/office/drawing/2014/main" id="{C0968505-ECD8-4044-8788-C09469EBB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3876" y="3608726"/>
          <a:ext cx="311729" cy="311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501423</xdr:colOff>
      <xdr:row>6</xdr:row>
      <xdr:rowOff>653292</xdr:rowOff>
    </xdr:from>
    <xdr:ext cx="317392" cy="317392"/>
    <xdr:pic>
      <xdr:nvPicPr>
        <xdr:cNvPr id="10" name="Grafik 9" descr="campaign image 6">
          <a:extLst>
            <a:ext uri="{FF2B5EF4-FFF2-40B4-BE49-F238E27FC236}">
              <a16:creationId xmlns:a16="http://schemas.microsoft.com/office/drawing/2014/main" id="{6D05DE2F-6E47-4D1E-B1FA-1829934A1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98398" y="1396242"/>
          <a:ext cx="317392" cy="31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13</xdr:col>
      <xdr:colOff>116416</xdr:colOff>
      <xdr:row>6</xdr:row>
      <xdr:rowOff>649815</xdr:rowOff>
    </xdr:from>
    <xdr:to>
      <xdr:col>13</xdr:col>
      <xdr:colOff>436802</xdr:colOff>
      <xdr:row>7</xdr:row>
      <xdr:rowOff>316921</xdr:rowOff>
    </xdr:to>
    <xdr:pic>
      <xdr:nvPicPr>
        <xdr:cNvPr id="11" name="Grafik 10" descr="Loddari">
          <a:extLst>
            <a:ext uri="{FF2B5EF4-FFF2-40B4-BE49-F238E27FC236}">
              <a16:creationId xmlns:a16="http://schemas.microsoft.com/office/drawing/2014/main" id="{FCA87307-DC27-4C03-8150-7881E87A0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3391" y="1392765"/>
          <a:ext cx="320386" cy="31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508000</xdr:colOff>
      <xdr:row>7</xdr:row>
      <xdr:rowOff>353483</xdr:rowOff>
    </xdr:from>
    <xdr:to>
      <xdr:col>13</xdr:col>
      <xdr:colOff>824031</xdr:colOff>
      <xdr:row>7</xdr:row>
      <xdr:rowOff>673613</xdr:rowOff>
    </xdr:to>
    <xdr:pic>
      <xdr:nvPicPr>
        <xdr:cNvPr id="12" name="Grafik 11" descr="https://www.gameontabletop.com/contenu/partners/ulisses/image/All_in_CFSymbol.png">
          <a:extLst>
            <a:ext uri="{FF2B5EF4-FFF2-40B4-BE49-F238E27FC236}">
              <a16:creationId xmlns:a16="http://schemas.microsoft.com/office/drawing/2014/main" id="{17F14D09-DCA6-44E0-8B1D-0699EC311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7375" y="3611033"/>
          <a:ext cx="316031" cy="320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60854</xdr:colOff>
      <xdr:row>151</xdr:row>
      <xdr:rowOff>56885</xdr:rowOff>
    </xdr:from>
    <xdr:to>
      <xdr:col>13</xdr:col>
      <xdr:colOff>937948</xdr:colOff>
      <xdr:row>158</xdr:row>
      <xdr:rowOff>99219</xdr:rowOff>
    </xdr:to>
    <xdr:sp macro="" textlink="">
      <xdr:nvSpPr>
        <xdr:cNvPr id="15" name="Textfeld 14">
          <a:extLst>
            <a:ext uri="{FF2B5EF4-FFF2-40B4-BE49-F238E27FC236}">
              <a16:creationId xmlns:a16="http://schemas.microsoft.com/office/drawing/2014/main" id="{02A2DF1A-BAA4-4851-AB48-5B80266E9280}"/>
            </a:ext>
          </a:extLst>
        </xdr:cNvPr>
        <xdr:cNvSpPr txBox="1"/>
      </xdr:nvSpPr>
      <xdr:spPr>
        <a:xfrm>
          <a:off x="144198" y="30739291"/>
          <a:ext cx="16652875" cy="154252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tx1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 b="1" baseline="0"/>
            <a:t>Dieser Einkaufsführer ist eine rein private Geschichte und </a:t>
          </a:r>
          <a:r>
            <a:rPr lang="de-DE" sz="1400" b="1" u="sng" baseline="0"/>
            <a:t>ohne Gewähr</a:t>
          </a:r>
          <a:r>
            <a:rPr lang="de-DE" sz="1400" b="1" baseline="0"/>
            <a:t> auf Vollständigkeit und 100%ige Korrektheit!</a:t>
          </a:r>
        </a:p>
        <a:p>
          <a:endParaRPr lang="de-DE" sz="800" b="1" baseline="0"/>
        </a:p>
        <a:p>
          <a:r>
            <a:rPr lang="de-DE" sz="1400" b="1" baseline="0"/>
            <a:t>Bei Fehlern meinerseits ist NICHT Ulisses dafür verantwortlich zu machen! Und ich bitte auch nicht ;)</a:t>
          </a:r>
        </a:p>
        <a:p>
          <a:r>
            <a:rPr lang="de-DE" sz="1400" b="1" baseline="0"/>
            <a:t>Ihr dürft mir Fehler aber sehr gerne in den CF-Kommentaren, in meinem Blog oder Discord, bei Facebook oder im Orkenspalter-Forum melden!</a:t>
          </a:r>
        </a:p>
        <a:p>
          <a:endParaRPr lang="de-DE" sz="800" b="1" baseline="0"/>
        </a:p>
        <a:p>
          <a:r>
            <a:rPr lang="de-DE" sz="1400" b="1" baseline="0"/>
            <a:t>Und nun gemeinsam auf ins Abenteuer!</a:t>
          </a:r>
        </a:p>
        <a:p>
          <a:r>
            <a:rPr lang="de-DE" sz="1400" b="1"/>
            <a:t>Euer GTStar	von Hinter dem Auge</a:t>
          </a:r>
          <a:r>
            <a:rPr lang="de-DE" sz="1400" b="1" baseline="0"/>
            <a:t> ...der DSA-info-Podcast</a:t>
          </a:r>
          <a:r>
            <a:rPr lang="de-DE" sz="1400" b="1"/>
            <a:t>								</a:t>
          </a:r>
          <a:r>
            <a:rPr lang="de-DE" sz="300" b="1"/>
            <a:t>Wer das liest ist neugierig ;)</a:t>
          </a:r>
        </a:p>
      </xdr:txBody>
    </xdr:sp>
    <xdr:clientData/>
  </xdr:twoCellAnchor>
  <xdr:twoCellAnchor editAs="oneCell">
    <xdr:from>
      <xdr:col>4</xdr:col>
      <xdr:colOff>1562100</xdr:colOff>
      <xdr:row>2</xdr:row>
      <xdr:rowOff>242564</xdr:rowOff>
    </xdr:from>
    <xdr:to>
      <xdr:col>5</xdr:col>
      <xdr:colOff>266700</xdr:colOff>
      <xdr:row>8</xdr:row>
      <xdr:rowOff>21494</xdr:rowOff>
    </xdr:to>
    <xdr:pic>
      <xdr:nvPicPr>
        <xdr:cNvPr id="28" name="Grafik 2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81566D8-CC9B-405E-A77E-5E73491E1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766439"/>
          <a:ext cx="4848225" cy="2522130"/>
        </a:xfrm>
        <a:prstGeom prst="rect">
          <a:avLst/>
        </a:prstGeom>
      </xdr:spPr>
    </xdr:pic>
    <xdr:clientData/>
  </xdr:twoCellAnchor>
  <xdr:twoCellAnchor editAs="oneCell">
    <xdr:from>
      <xdr:col>14</xdr:col>
      <xdr:colOff>899585</xdr:colOff>
      <xdr:row>1</xdr:row>
      <xdr:rowOff>27516</xdr:rowOff>
    </xdr:from>
    <xdr:to>
      <xdr:col>16</xdr:col>
      <xdr:colOff>2083675</xdr:colOff>
      <xdr:row>8</xdr:row>
      <xdr:rowOff>76200</xdr:rowOff>
    </xdr:to>
    <xdr:pic>
      <xdr:nvPicPr>
        <xdr:cNvPr id="30" name="Grafik 2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B64CD68-188A-4A5E-A26E-6F1152449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20735" y="284691"/>
          <a:ext cx="3070040" cy="3058584"/>
        </a:xfrm>
        <a:prstGeom prst="rect">
          <a:avLst/>
        </a:prstGeom>
      </xdr:spPr>
    </xdr:pic>
    <xdr:clientData/>
  </xdr:twoCellAnchor>
  <xdr:twoCellAnchor>
    <xdr:from>
      <xdr:col>3</xdr:col>
      <xdr:colOff>71436</xdr:colOff>
      <xdr:row>127</xdr:row>
      <xdr:rowOff>105832</xdr:rowOff>
    </xdr:from>
    <xdr:to>
      <xdr:col>5</xdr:col>
      <xdr:colOff>1369218</xdr:colOff>
      <xdr:row>150</xdr:row>
      <xdr:rowOff>107155</xdr:rowOff>
    </xdr:to>
    <xdr:graphicFrame macro="">
      <xdr:nvGraphicFramePr>
        <xdr:cNvPr id="44" name="Diagramm 43">
          <a:extLst>
            <a:ext uri="{FF2B5EF4-FFF2-40B4-BE49-F238E27FC236}">
              <a16:creationId xmlns:a16="http://schemas.microsoft.com/office/drawing/2014/main" id="{A89B5485-9BAF-4F11-ABE9-4732FBF57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12</xdr:col>
      <xdr:colOff>114976</xdr:colOff>
      <xdr:row>7</xdr:row>
      <xdr:rowOff>347699</xdr:rowOff>
    </xdr:from>
    <xdr:to>
      <xdr:col>12</xdr:col>
      <xdr:colOff>426705</xdr:colOff>
      <xdr:row>7</xdr:row>
      <xdr:rowOff>659428</xdr:rowOff>
    </xdr:to>
    <xdr:pic>
      <xdr:nvPicPr>
        <xdr:cNvPr id="29" name="Grafik 28" descr="campaign image 7">
          <a:extLst>
            <a:ext uri="{FF2B5EF4-FFF2-40B4-BE49-F238E27FC236}">
              <a16:creationId xmlns:a16="http://schemas.microsoft.com/office/drawing/2014/main" id="{C79B5C74-3100-46A0-AB70-F89B7189A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2176" y="3919574"/>
          <a:ext cx="311729" cy="311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491898</xdr:colOff>
      <xdr:row>6</xdr:row>
      <xdr:rowOff>564090</xdr:rowOff>
    </xdr:from>
    <xdr:ext cx="317392" cy="317392"/>
    <xdr:pic>
      <xdr:nvPicPr>
        <xdr:cNvPr id="31" name="Grafik 30" descr="campaign image 6">
          <a:extLst>
            <a:ext uri="{FF2B5EF4-FFF2-40B4-BE49-F238E27FC236}">
              <a16:creationId xmlns:a16="http://schemas.microsoft.com/office/drawing/2014/main" id="{2178D231-C28E-47E8-9128-39C6D5328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89098" y="3564465"/>
          <a:ext cx="317392" cy="31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106891</xdr:colOff>
      <xdr:row>6</xdr:row>
      <xdr:rowOff>570138</xdr:rowOff>
    </xdr:from>
    <xdr:to>
      <xdr:col>12</xdr:col>
      <xdr:colOff>427277</xdr:colOff>
      <xdr:row>7</xdr:row>
      <xdr:rowOff>303919</xdr:rowOff>
    </xdr:to>
    <xdr:pic>
      <xdr:nvPicPr>
        <xdr:cNvPr id="32" name="Grafik 31" descr="Loddari">
          <a:extLst>
            <a:ext uri="{FF2B5EF4-FFF2-40B4-BE49-F238E27FC236}">
              <a16:creationId xmlns:a16="http://schemas.microsoft.com/office/drawing/2014/main" id="{B221CE39-F6A3-4E7D-941E-D07B05854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04091" y="3570513"/>
          <a:ext cx="320386" cy="31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498475</xdr:colOff>
      <xdr:row>7</xdr:row>
      <xdr:rowOff>350006</xdr:rowOff>
    </xdr:from>
    <xdr:to>
      <xdr:col>12</xdr:col>
      <xdr:colOff>814506</xdr:colOff>
      <xdr:row>7</xdr:row>
      <xdr:rowOff>670136</xdr:rowOff>
    </xdr:to>
    <xdr:pic>
      <xdr:nvPicPr>
        <xdr:cNvPr id="33" name="Grafik 32" descr="https://www.gameontabletop.com/contenu/partners/ulisses/image/All_in_CFSymbol.png">
          <a:extLst>
            <a:ext uri="{FF2B5EF4-FFF2-40B4-BE49-F238E27FC236}">
              <a16:creationId xmlns:a16="http://schemas.microsoft.com/office/drawing/2014/main" id="{8AC594B3-4B3B-4988-BB75-80168262B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5675" y="3921881"/>
          <a:ext cx="316031" cy="320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134026</xdr:colOff>
      <xdr:row>7</xdr:row>
      <xdr:rowOff>357224</xdr:rowOff>
    </xdr:from>
    <xdr:to>
      <xdr:col>11</xdr:col>
      <xdr:colOff>445755</xdr:colOff>
      <xdr:row>7</xdr:row>
      <xdr:rowOff>668953</xdr:rowOff>
    </xdr:to>
    <xdr:pic>
      <xdr:nvPicPr>
        <xdr:cNvPr id="34" name="Grafik 33" descr="campaign image 7">
          <a:extLst>
            <a:ext uri="{FF2B5EF4-FFF2-40B4-BE49-F238E27FC236}">
              <a16:creationId xmlns:a16="http://schemas.microsoft.com/office/drawing/2014/main" id="{98AD18DF-CCDF-4A19-9747-DC194B5FF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8251" y="3929099"/>
          <a:ext cx="311729" cy="311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510948</xdr:colOff>
      <xdr:row>7</xdr:row>
      <xdr:rowOff>2115</xdr:rowOff>
    </xdr:from>
    <xdr:ext cx="317392" cy="317392"/>
    <xdr:pic>
      <xdr:nvPicPr>
        <xdr:cNvPr id="35" name="Grafik 34" descr="campaign image 6">
          <a:extLst>
            <a:ext uri="{FF2B5EF4-FFF2-40B4-BE49-F238E27FC236}">
              <a16:creationId xmlns:a16="http://schemas.microsoft.com/office/drawing/2014/main" id="{4B4D5CC6-BE21-4D63-9AC7-1A00A07A6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65173" y="3573990"/>
          <a:ext cx="317392" cy="31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125941</xdr:colOff>
      <xdr:row>7</xdr:row>
      <xdr:rowOff>8163</xdr:rowOff>
    </xdr:from>
    <xdr:to>
      <xdr:col>11</xdr:col>
      <xdr:colOff>446327</xdr:colOff>
      <xdr:row>7</xdr:row>
      <xdr:rowOff>324027</xdr:rowOff>
    </xdr:to>
    <xdr:pic>
      <xdr:nvPicPr>
        <xdr:cNvPr id="36" name="Grafik 35" descr="Loddari">
          <a:extLst>
            <a:ext uri="{FF2B5EF4-FFF2-40B4-BE49-F238E27FC236}">
              <a16:creationId xmlns:a16="http://schemas.microsoft.com/office/drawing/2014/main" id="{0EFE73EF-A481-48E5-A154-D2CACE7EE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0166" y="3580038"/>
          <a:ext cx="320386" cy="31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517525</xdr:colOff>
      <xdr:row>7</xdr:row>
      <xdr:rowOff>359531</xdr:rowOff>
    </xdr:from>
    <xdr:to>
      <xdr:col>11</xdr:col>
      <xdr:colOff>833556</xdr:colOff>
      <xdr:row>7</xdr:row>
      <xdr:rowOff>679661</xdr:rowOff>
    </xdr:to>
    <xdr:pic>
      <xdr:nvPicPr>
        <xdr:cNvPr id="37" name="Grafik 36" descr="https://www.gameontabletop.com/contenu/partners/ulisses/image/All_in_CFSymbol.png">
          <a:extLst>
            <a:ext uri="{FF2B5EF4-FFF2-40B4-BE49-F238E27FC236}">
              <a16:creationId xmlns:a16="http://schemas.microsoft.com/office/drawing/2014/main" id="{79D42639-BC34-44E2-8067-7B9FC7F8A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71750" y="3931406"/>
          <a:ext cx="316031" cy="320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134026</xdr:colOff>
      <xdr:row>7</xdr:row>
      <xdr:rowOff>366749</xdr:rowOff>
    </xdr:from>
    <xdr:to>
      <xdr:col>10</xdr:col>
      <xdr:colOff>445755</xdr:colOff>
      <xdr:row>7</xdr:row>
      <xdr:rowOff>678478</xdr:rowOff>
    </xdr:to>
    <xdr:pic>
      <xdr:nvPicPr>
        <xdr:cNvPr id="38" name="Grafik 37" descr="campaign image 7">
          <a:extLst>
            <a:ext uri="{FF2B5EF4-FFF2-40B4-BE49-F238E27FC236}">
              <a16:creationId xmlns:a16="http://schemas.microsoft.com/office/drawing/2014/main" id="{422FF20E-7BC0-480C-8D40-39C1B14E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5276" y="3938624"/>
          <a:ext cx="311729" cy="311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510948</xdr:colOff>
      <xdr:row>7</xdr:row>
      <xdr:rowOff>11640</xdr:rowOff>
    </xdr:from>
    <xdr:ext cx="317392" cy="317392"/>
    <xdr:pic>
      <xdr:nvPicPr>
        <xdr:cNvPr id="39" name="Grafik 38" descr="campaign image 6">
          <a:extLst>
            <a:ext uri="{FF2B5EF4-FFF2-40B4-BE49-F238E27FC236}">
              <a16:creationId xmlns:a16="http://schemas.microsoft.com/office/drawing/2014/main" id="{EDDDD127-9574-4967-97C5-5CE95902B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2198" y="3583515"/>
          <a:ext cx="317392" cy="31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125941</xdr:colOff>
      <xdr:row>7</xdr:row>
      <xdr:rowOff>17688</xdr:rowOff>
    </xdr:from>
    <xdr:to>
      <xdr:col>10</xdr:col>
      <xdr:colOff>446327</xdr:colOff>
      <xdr:row>7</xdr:row>
      <xdr:rowOff>333552</xdr:rowOff>
    </xdr:to>
    <xdr:pic>
      <xdr:nvPicPr>
        <xdr:cNvPr id="40" name="Grafik 39" descr="Loddari">
          <a:extLst>
            <a:ext uri="{FF2B5EF4-FFF2-40B4-BE49-F238E27FC236}">
              <a16:creationId xmlns:a16="http://schemas.microsoft.com/office/drawing/2014/main" id="{CED83DD0-D8EC-42AA-957C-FD07C6A51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7191" y="3589563"/>
          <a:ext cx="320386" cy="31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517525</xdr:colOff>
      <xdr:row>7</xdr:row>
      <xdr:rowOff>369056</xdr:rowOff>
    </xdr:from>
    <xdr:to>
      <xdr:col>10</xdr:col>
      <xdr:colOff>833556</xdr:colOff>
      <xdr:row>7</xdr:row>
      <xdr:rowOff>689186</xdr:rowOff>
    </xdr:to>
    <xdr:pic>
      <xdr:nvPicPr>
        <xdr:cNvPr id="41" name="Grafik 40" descr="https://www.gameontabletop.com/contenu/partners/ulisses/image/All_in_CFSymbol.png">
          <a:extLst>
            <a:ext uri="{FF2B5EF4-FFF2-40B4-BE49-F238E27FC236}">
              <a16:creationId xmlns:a16="http://schemas.microsoft.com/office/drawing/2014/main" id="{AAEC9661-BC9C-4F85-BBDD-211DD9FCF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8775" y="3940931"/>
          <a:ext cx="316031" cy="320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325966</xdr:colOff>
      <xdr:row>7</xdr:row>
      <xdr:rowOff>17688</xdr:rowOff>
    </xdr:from>
    <xdr:to>
      <xdr:col>8</xdr:col>
      <xdr:colOff>646352</xdr:colOff>
      <xdr:row>7</xdr:row>
      <xdr:rowOff>333552</xdr:rowOff>
    </xdr:to>
    <xdr:pic>
      <xdr:nvPicPr>
        <xdr:cNvPr id="42" name="Grafik 41" descr="Loddari">
          <a:extLst>
            <a:ext uri="{FF2B5EF4-FFF2-40B4-BE49-F238E27FC236}">
              <a16:creationId xmlns:a16="http://schemas.microsoft.com/office/drawing/2014/main" id="{9BE952D0-A591-4386-B308-634D475E1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1266" y="3589563"/>
          <a:ext cx="320386" cy="31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327025</xdr:colOff>
      <xdr:row>7</xdr:row>
      <xdr:rowOff>359531</xdr:rowOff>
    </xdr:from>
    <xdr:to>
      <xdr:col>8</xdr:col>
      <xdr:colOff>643056</xdr:colOff>
      <xdr:row>7</xdr:row>
      <xdr:rowOff>679661</xdr:rowOff>
    </xdr:to>
    <xdr:pic>
      <xdr:nvPicPr>
        <xdr:cNvPr id="43" name="Grafik 42" descr="https://www.gameontabletop.com/contenu/partners/ulisses/image/All_in_CFSymbol.png">
          <a:extLst>
            <a:ext uri="{FF2B5EF4-FFF2-40B4-BE49-F238E27FC236}">
              <a16:creationId xmlns:a16="http://schemas.microsoft.com/office/drawing/2014/main" id="{8F090865-3D1B-4782-AD87-574E1146E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2325" y="3931406"/>
          <a:ext cx="316031" cy="320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510948</xdr:colOff>
      <xdr:row>7</xdr:row>
      <xdr:rowOff>11640</xdr:rowOff>
    </xdr:from>
    <xdr:ext cx="317392" cy="317392"/>
    <xdr:pic>
      <xdr:nvPicPr>
        <xdr:cNvPr id="45" name="Grafik 44" descr="campaign image 6">
          <a:extLst>
            <a:ext uri="{FF2B5EF4-FFF2-40B4-BE49-F238E27FC236}">
              <a16:creationId xmlns:a16="http://schemas.microsoft.com/office/drawing/2014/main" id="{8F0FCA69-FA2D-4398-8047-3F1408D33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3273" y="3583515"/>
          <a:ext cx="317392" cy="31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125941</xdr:colOff>
      <xdr:row>7</xdr:row>
      <xdr:rowOff>17688</xdr:rowOff>
    </xdr:from>
    <xdr:to>
      <xdr:col>7</xdr:col>
      <xdr:colOff>446327</xdr:colOff>
      <xdr:row>7</xdr:row>
      <xdr:rowOff>333552</xdr:rowOff>
    </xdr:to>
    <xdr:pic>
      <xdr:nvPicPr>
        <xdr:cNvPr id="46" name="Grafik 45" descr="Loddari">
          <a:extLst>
            <a:ext uri="{FF2B5EF4-FFF2-40B4-BE49-F238E27FC236}">
              <a16:creationId xmlns:a16="http://schemas.microsoft.com/office/drawing/2014/main" id="{18D0A914-31BC-42A7-A879-EA2EAF6F8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8266" y="3589563"/>
          <a:ext cx="320386" cy="31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3214159</xdr:colOff>
      <xdr:row>25</xdr:row>
      <xdr:rowOff>237596</xdr:rowOff>
    </xdr:from>
    <xdr:ext cx="317392" cy="317392"/>
    <xdr:pic>
      <xdr:nvPicPr>
        <xdr:cNvPr id="27" name="Grafik 26" descr="campaign image 6">
          <a:extLst>
            <a:ext uri="{FF2B5EF4-FFF2-40B4-BE49-F238E27FC236}">
              <a16:creationId xmlns:a16="http://schemas.microsoft.com/office/drawing/2014/main" id="{354DCE23-690C-42A5-AE32-C6C2472CB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6909" y="8029046"/>
          <a:ext cx="317392" cy="31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2674407</xdr:colOff>
      <xdr:row>81</xdr:row>
      <xdr:rowOff>241300</xdr:rowOff>
    </xdr:from>
    <xdr:to>
      <xdr:col>4</xdr:col>
      <xdr:colOff>2986136</xdr:colOff>
      <xdr:row>83</xdr:row>
      <xdr:rowOff>23862</xdr:rowOff>
    </xdr:to>
    <xdr:pic>
      <xdr:nvPicPr>
        <xdr:cNvPr id="47" name="Grafik 46" descr="campaign image 7">
          <a:extLst>
            <a:ext uri="{FF2B5EF4-FFF2-40B4-BE49-F238E27FC236}">
              <a16:creationId xmlns:a16="http://schemas.microsoft.com/office/drawing/2014/main" id="{A7B08D68-C144-4AFF-9D41-01498AEB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3157" y="20758150"/>
          <a:ext cx="311729" cy="315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2702982</xdr:colOff>
      <xdr:row>36</xdr:row>
      <xdr:rowOff>241300</xdr:rowOff>
    </xdr:from>
    <xdr:ext cx="311729" cy="311729"/>
    <xdr:pic>
      <xdr:nvPicPr>
        <xdr:cNvPr id="48" name="Grafik 47" descr="campaign image 7">
          <a:extLst>
            <a:ext uri="{FF2B5EF4-FFF2-40B4-BE49-F238E27FC236}">
              <a16:creationId xmlns:a16="http://schemas.microsoft.com/office/drawing/2014/main" id="{8D356CFD-2972-4A50-A7A7-B910D9104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5732" y="10966450"/>
          <a:ext cx="311729" cy="311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723899</xdr:colOff>
      <xdr:row>27</xdr:row>
      <xdr:rowOff>33336</xdr:rowOff>
    </xdr:from>
    <xdr:to>
      <xdr:col>15</xdr:col>
      <xdr:colOff>714374</xdr:colOff>
      <xdr:row>52</xdr:row>
      <xdr:rowOff>57149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386C9BA-881E-46C9-8576-20415BCC7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5D64560-C103-4611-8ECC-489CF0C3E7E0}" name="Tabelle2" displayName="Tabelle2" ref="AE102:AH123" totalsRowShown="0" headerRowDxfId="204" headerRowBorderDxfId="203" tableBorderDxfId="202" totalsRowBorderDxfId="201">
  <autoFilter ref="AE102:AH123" xr:uid="{3F622D77-4EA1-4C0F-B5F9-85145A926FCB}"/>
  <sortState xmlns:xlrd2="http://schemas.microsoft.com/office/spreadsheetml/2017/richdata2" ref="AE103:AH123">
    <sortCondition descending="1" ref="AF102:AF123"/>
  </sortState>
  <tableColumns count="4">
    <tableColumn id="1" xr3:uid="{18FAEAC4-71C6-43CB-AEFC-72061F913676}" name="Tag" dataDxfId="200"/>
    <tableColumn id="2" xr3:uid="{5F9D4D87-7BDD-4FE2-B3A5-328FFE01408C}" name="€" dataDxfId="199"/>
    <tableColumn id="3" xr3:uid="{3B2331C4-13E3-4A9C-A349-9D2418AC24C6}" name="Backer" dataDxfId="198"/>
    <tableColumn id="4" xr3:uid="{5E6E8AC3-D414-4478-BF8F-162F08F3AC47}" name="€/Backer" dataDxfId="197">
      <calculatedColumnFormula>IFERROR(Tabelle2[[#This Row],[€]]/Tabelle2[[#This Row],[Backer]],"")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6EA9654-149B-455B-B037-D0C330FFD6EF}" name="Tabelle3" displayName="Tabelle3" ref="B2:AB24" totalsRowShown="0" headerRowDxfId="196">
  <autoFilter ref="B2:AB24" xr:uid="{27422959-90AD-4338-8C23-E3B9F7316881}"/>
  <tableColumns count="27">
    <tableColumn id="1" xr3:uid="{F20F49F8-6EB7-43C1-9922-F620A023E7F0}" name="Tag"/>
    <tableColumn id="2" xr3:uid="{6971CB83-29C8-475B-A31E-D387F03E1C07}" name="Aventuria (€)" dataDxfId="195"/>
    <tableColumn id="3" xr3:uid="{F664882F-3BD9-41DE-A643-1C890FC1B073}" name="Aventuria (Backer)" dataDxfId="194"/>
    <tableColumn id="4" xr3:uid="{6F8F036B-D5DC-4216-84F0-2BEBB08CBACA}" name="Thorwal norm (€)" dataDxfId="193"/>
    <tableColumn id="5" xr3:uid="{FD2FB521-94BA-46E4-A5EA-A7CEFF140F9A}" name="Thorwal norm (Backer)" dataDxfId="192"/>
    <tableColumn id="6" xr3:uid="{25BEFAD5-BE69-4A80-ABD3-5577E99AE16C}" name="Werkzeuge norm (€)" dataDxfId="191"/>
    <tableColumn id="7" xr3:uid="{AF4584B6-52C3-49C8-9E39-F43C0B8FEB14}" name="Werkzeuge norm (Backer)" dataDxfId="190"/>
    <tableColumn id="22" xr3:uid="{266EF583-8DD5-4805-B391-903ED2BAC519}" name="Mythos norm (€)" dataDxfId="189"/>
    <tableColumn id="23" xr3:uid="{3AB32905-68A3-4D5A-B37B-E5533823CB41}" name="Mythos norm (Backer)" dataDxfId="188"/>
    <tableColumn id="28" xr3:uid="{48AFB569-0998-4E2C-8C85-86F96730174E}" name="DSK norm (€)" dataDxfId="187"/>
    <tableColumn id="27" xr3:uid="{E47209D4-64AB-4094-A811-0DF73184FDC3}" name="DSK norm (Backer)" dataDxfId="186"/>
    <tableColumn id="8" xr3:uid="{2114D7A1-DEA0-40EE-9B8B-0A668EFEB97B}" name="Thorwal (€)" dataDxfId="185"/>
    <tableColumn id="9" xr3:uid="{9A9EB59B-6CA6-4F08-B68D-0962E0D83338}" name="Thorwal (Backer)" dataDxfId="184"/>
    <tableColumn id="10" xr3:uid="{DF5363C3-935A-49F1-B72D-9DF733CE4302}" name="Werkzeuge (€)" dataDxfId="183"/>
    <tableColumn id="11" xr3:uid="{4CFD1B7C-52BE-49FD-B7F5-1D7A36D73889}" name="Werkzeuge (Backer)" dataDxfId="182"/>
    <tableColumn id="18" xr3:uid="{C732132C-C661-400E-A33E-810D292F34AA}" name="Mythos (€)" dataDxfId="181"/>
    <tableColumn id="19" xr3:uid="{90EA6656-0F6B-435F-8A50-D1F413A22B34}" name="Mythos (Backer)" dataDxfId="180"/>
    <tableColumn id="20" xr3:uid="{C33B8766-778A-4CBA-B6CD-11F696D9BF3F}" name="DSK (€)" dataDxfId="179">
      <calculatedColumnFormula>'DSK - Fasar'!AA128</calculatedColumnFormula>
    </tableColumn>
    <tableColumn id="21" xr3:uid="{7FE9A82A-5A08-46A8-A0C2-586311B74BB6}" name="DSK (Backer)" dataDxfId="178">
      <calculatedColumnFormula>'DSK - Fasar'!AG128</calculatedColumnFormula>
    </tableColumn>
    <tableColumn id="12" xr3:uid="{CE532E56-7537-4234-994D-EF5975A2D3B8}" name="Aventuria (€) %" dataDxfId="177">
      <calculatedColumnFormula>Tabelle3[[#This Row],[Aventuria (€)]]/C$24</calculatedColumnFormula>
    </tableColumn>
    <tableColumn id="13" xr3:uid="{6E91BB61-A019-4B20-A7F5-D01EA616EE80}" name="Aventuria (Backer) %" dataDxfId="176">
      <calculatedColumnFormula>Tabelle3[[#This Row],[Aventuria (Backer)]]/D$24</calculatedColumnFormula>
    </tableColumn>
    <tableColumn id="14" xr3:uid="{FBF481DA-2BF3-4C7F-8B01-5CB18A4093B2}" name="Thorwal (€) %" dataDxfId="175">
      <calculatedColumnFormula>Tabelle3[[#This Row],[Thorwal (€)]]/M$24</calculatedColumnFormula>
    </tableColumn>
    <tableColumn id="15" xr3:uid="{B21023AA-7241-4A20-9F45-D78A9ACC5244}" name="Thorwal (Backer) %" dataDxfId="174">
      <calculatedColumnFormula>Tabelle3[[#This Row],[Thorwal (Backer)]]/N$24</calculatedColumnFormula>
    </tableColumn>
    <tableColumn id="16" xr3:uid="{DC7AD9E1-E99C-4261-9C20-A1E356A99AC0}" name="Werkzeuge (€) %" dataDxfId="173">
      <calculatedColumnFormula>Tabelle3[[#This Row],[Werkzeuge (€)]]/O$24</calculatedColumnFormula>
    </tableColumn>
    <tableColumn id="17" xr3:uid="{BB027685-5D11-4F55-81EA-63B2D41CE363}" name="Werkzeuge (Backer) %" dataDxfId="172">
      <calculatedColumnFormula>Tabelle3[[#This Row],[Werkzeuge (Backer)]]/P$24</calculatedColumnFormula>
    </tableColumn>
    <tableColumn id="24" xr3:uid="{A23C8788-EEA7-4461-8240-391ABED3EBA3}" name="Mythos (€) %" dataDxfId="171">
      <calculatedColumnFormula>Tabelle3[[#This Row],[Mythos (€)]]/Q$24</calculatedColumnFormula>
    </tableColumn>
    <tableColumn id="25" xr3:uid="{5DE909DD-E845-49F6-9E9A-EA884B351553}" name="Mthos (Backer) %" dataDxfId="170">
      <calculatedColumnFormula>Tabelle3[[#This Row],[Mythos (Backer)]]/R$24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comments" Target="../comments1.xml"/><Relationship Id="rId2" Type="http://schemas.openxmlformats.org/officeDocument/2006/relationships/hyperlink" Target="https://www.gameontabletop.com/cf433/die-schwarze-katze-fasar-bruchiger-frieden.html" TargetMode="External"/><Relationship Id="rId1" Type="http://schemas.openxmlformats.org/officeDocument/2006/relationships/hyperlink" Target="https://hinterdemauge.blogspot.com/" TargetMode="External"/><Relationship Id="rId6" Type="http://schemas.openxmlformats.org/officeDocument/2006/relationships/table" Target="../tables/table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4982B-0226-4FC4-B481-9BD26DD7F965}">
  <sheetPr>
    <pageSetUpPr fitToPage="1"/>
  </sheetPr>
  <dimension ref="A1:BN196"/>
  <sheetViews>
    <sheetView showGridLines="0" showZeros="0" tabSelected="1" zoomScaleNormal="100" workbookViewId="0">
      <pane xSplit="6" ySplit="10" topLeftCell="G123" activePane="bottomRight" state="frozen"/>
      <selection pane="topRight" activeCell="F1" sqref="F1"/>
      <selection pane="bottomLeft" activeCell="A6" sqref="A6"/>
      <selection pane="bottomRight" activeCell="P164" sqref="P159:P164"/>
    </sheetView>
  </sheetViews>
  <sheetFormatPr baseColWidth="10" defaultRowHeight="16.5" outlineLevelRow="1" outlineLevelCol="2" x14ac:dyDescent="0.3"/>
  <cols>
    <col min="1" max="2" width="11.42578125" style="134" hidden="1" customWidth="1" outlineLevel="1"/>
    <col min="3" max="3" width="1.28515625" style="37" customWidth="1" collapsed="1"/>
    <col min="4" max="4" width="20.140625" style="31" customWidth="1"/>
    <col min="5" max="5" width="92.140625" style="6" customWidth="1"/>
    <col min="6" max="6" width="25.5703125" style="6" bestFit="1" customWidth="1"/>
    <col min="7" max="14" width="14.140625" style="5" customWidth="1"/>
    <col min="15" max="15" width="14.140625" style="7" customWidth="1"/>
    <col min="16" max="16" width="14.140625" style="8" customWidth="1"/>
    <col min="17" max="17" width="44.42578125" style="37" bestFit="1" customWidth="1"/>
    <col min="18" max="18" width="11.42578125" style="33" hidden="1" customWidth="1" outlineLevel="2"/>
    <col min="19" max="19" width="11.42578125" style="33" hidden="1" customWidth="1" outlineLevel="1" collapsed="1"/>
    <col min="20" max="23" width="11.42578125" style="33" hidden="1" customWidth="1" outlineLevel="1"/>
    <col min="24" max="24" width="6.140625" style="33" hidden="1" customWidth="1" outlineLevel="2"/>
    <col min="25" max="25" width="7.28515625" style="33" hidden="1" customWidth="1" outlineLevel="1"/>
    <col min="26" max="26" width="9.28515625" style="33" hidden="1" customWidth="1" outlineLevel="2"/>
    <col min="27" max="27" width="12.5703125" style="33" hidden="1" customWidth="1" outlineLevel="1"/>
    <col min="28" max="28" width="14" style="33" hidden="1" customWidth="1" outlineLevel="1"/>
    <col min="29" max="29" width="11.42578125" style="34" hidden="1" customWidth="1" outlineLevel="1"/>
    <col min="30" max="30" width="11.42578125" style="33" hidden="1" customWidth="1" outlineLevel="1"/>
    <col min="31" max="31" width="11.42578125" style="34" hidden="1" customWidth="1" outlineLevel="1"/>
    <col min="32" max="33" width="11.42578125" style="33" hidden="1" customWidth="1" outlineLevel="1"/>
    <col min="34" max="34" width="11.42578125" style="214" hidden="1" customWidth="1" outlineLevel="1"/>
    <col min="35" max="41" width="11.42578125" style="33" hidden="1" customWidth="1" outlineLevel="1"/>
    <col min="42" max="43" width="11.42578125" style="214" hidden="1" customWidth="1" outlineLevel="1"/>
    <col min="44" max="45" width="11.42578125" style="33" hidden="1" customWidth="1" outlineLevel="1"/>
    <col min="46" max="47" width="11.42578125" style="214" hidden="1" customWidth="1" outlineLevel="1"/>
    <col min="48" max="48" width="11.28515625" style="33" hidden="1" customWidth="1" outlineLevel="1"/>
    <col min="49" max="50" width="11.42578125" style="33" hidden="1" customWidth="1" outlineLevel="1"/>
    <col min="51" max="52" width="11.42578125" style="214" hidden="1" customWidth="1" outlineLevel="1"/>
    <col min="53" max="53" width="11.28515625" style="33" hidden="1" customWidth="1" outlineLevel="1"/>
    <col min="54" max="54" width="11.42578125" style="227" hidden="1" customWidth="1" outlineLevel="1"/>
    <col min="55" max="55" width="11.42578125" style="33" hidden="1" customWidth="1" outlineLevel="1"/>
    <col min="56" max="56" width="11.28515625" style="33" hidden="1" customWidth="1" outlineLevel="1"/>
    <col min="57" max="58" width="11.42578125" style="214" hidden="1" customWidth="1" outlineLevel="1"/>
    <col min="59" max="59" width="11.42578125" style="37" collapsed="1"/>
    <col min="60" max="66" width="11.42578125" style="37"/>
    <col min="67" max="16384" width="11.42578125" style="6"/>
  </cols>
  <sheetData>
    <row r="1" spans="1:66" s="37" customFormat="1" ht="20.25" customHeight="1" thickBot="1" x14ac:dyDescent="0.35">
      <c r="D1" s="175" t="s">
        <v>373</v>
      </c>
      <c r="E1" s="486" t="str">
        <f>TEXT(V7&amp;". Tag (noch "&amp;21-V7&amp;" Tage)",)&amp;"; Finaler Stand: "&amp;TEXT(T2,"#.##0")&amp;" € / "&amp;TEXT(T3,"#.##0")&amp;" Unterstützer (Ø "&amp;TEXT(T4,"#.##0,00")&amp;" €)"</f>
        <v>21. Tag (noch 0 Tage); Finaler Stand: 123.341 € / 654 Unterstützer (Ø 188,59 €)</v>
      </c>
      <c r="F1" s="486"/>
      <c r="G1" s="36"/>
      <c r="H1" s="488" t="s">
        <v>123</v>
      </c>
      <c r="I1" s="488"/>
      <c r="J1" s="488"/>
      <c r="K1" s="488"/>
      <c r="L1" s="488"/>
      <c r="M1" s="488"/>
      <c r="N1" s="488"/>
      <c r="O1" s="484" t="s">
        <v>46</v>
      </c>
      <c r="P1" s="484"/>
      <c r="Q1" s="484"/>
      <c r="R1" s="409"/>
      <c r="S1" s="381"/>
      <c r="T1" s="382" t="s">
        <v>108</v>
      </c>
      <c r="U1" s="383" t="s">
        <v>107</v>
      </c>
      <c r="V1" s="202" t="s">
        <v>106</v>
      </c>
      <c r="W1" s="125"/>
      <c r="X1" s="33"/>
      <c r="Y1" s="33"/>
      <c r="Z1" s="33"/>
      <c r="AA1" s="124"/>
      <c r="AB1" s="33"/>
      <c r="AC1" s="34"/>
      <c r="AD1" s="33"/>
      <c r="AE1" s="34"/>
      <c r="AF1" s="33"/>
      <c r="AG1" s="33"/>
      <c r="AH1" s="214"/>
      <c r="AI1" s="33"/>
      <c r="AJ1" s="33"/>
      <c r="AK1" s="33"/>
      <c r="AL1" s="33"/>
      <c r="AM1" s="33"/>
      <c r="AN1" s="33"/>
      <c r="AO1" s="33"/>
      <c r="AP1" s="214"/>
      <c r="AQ1" s="214"/>
      <c r="AR1" s="33"/>
      <c r="AS1" s="33"/>
      <c r="AT1" s="214"/>
      <c r="AU1" s="214"/>
      <c r="AV1" s="33"/>
      <c r="AW1" s="33"/>
      <c r="AX1" s="33"/>
      <c r="AY1" s="214"/>
      <c r="AZ1" s="214"/>
      <c r="BA1" s="33"/>
      <c r="BB1" s="227"/>
      <c r="BC1" s="33"/>
      <c r="BD1" s="33"/>
      <c r="BE1" s="214"/>
      <c r="BF1" s="214"/>
    </row>
    <row r="2" spans="1:66" s="37" customFormat="1" ht="21" x14ac:dyDescent="0.3">
      <c r="A2" s="134"/>
      <c r="B2" s="134"/>
      <c r="D2" s="176" t="s">
        <v>374</v>
      </c>
      <c r="E2" s="486" t="str">
        <f>"Erreichte Bonusziele: "&amp;T6&amp;" - bis "&amp;VLOOKUP(T6,$U$11:$V$86,2,FALSE)</f>
        <v>Erreichte Bonusziele: 44 - bis "Zu Papier gebracht"</v>
      </c>
      <c r="F2" s="486"/>
      <c r="G2" s="36"/>
      <c r="H2" s="489" t="s">
        <v>122</v>
      </c>
      <c r="I2" s="489"/>
      <c r="J2" s="489"/>
      <c r="K2" s="489"/>
      <c r="L2" s="489"/>
      <c r="M2" s="489"/>
      <c r="N2" s="489"/>
      <c r="O2" s="39"/>
      <c r="P2" s="40"/>
      <c r="R2" s="384" t="s">
        <v>6</v>
      </c>
      <c r="S2" s="385" t="s">
        <v>102</v>
      </c>
      <c r="T2" s="386">
        <v>123341</v>
      </c>
      <c r="U2" s="387">
        <v>102294</v>
      </c>
      <c r="V2" s="388">
        <f>T2-U2</f>
        <v>21047</v>
      </c>
      <c r="W2" s="125"/>
      <c r="X2" s="33"/>
      <c r="Y2" s="33"/>
      <c r="Z2" s="33"/>
      <c r="AA2" s="370" t="s">
        <v>256</v>
      </c>
      <c r="AB2" s="33"/>
      <c r="AC2" s="34"/>
      <c r="AD2" s="33"/>
      <c r="AE2" s="34"/>
      <c r="AF2" s="33"/>
      <c r="AG2" s="33"/>
      <c r="AH2" s="214"/>
      <c r="AI2" s="33"/>
      <c r="AJ2" s="33"/>
      <c r="AK2" s="33"/>
      <c r="AL2" s="33"/>
      <c r="AM2" s="33"/>
      <c r="AN2" s="33"/>
      <c r="AO2" s="33"/>
      <c r="AP2" s="214"/>
      <c r="AQ2" s="214"/>
      <c r="AR2" s="33"/>
      <c r="AS2" s="33"/>
      <c r="AT2" s="214"/>
      <c r="AU2" s="214"/>
      <c r="AV2" s="33"/>
      <c r="AW2" s="33"/>
      <c r="AX2" s="33"/>
      <c r="AY2" s="214"/>
      <c r="AZ2" s="214"/>
      <c r="BA2" s="33"/>
      <c r="BB2" s="227"/>
      <c r="BC2" s="33"/>
      <c r="BD2" s="33"/>
      <c r="BE2" s="214"/>
      <c r="BF2" s="214"/>
    </row>
    <row r="3" spans="1:66" s="37" customFormat="1" ht="21.75" thickBot="1" x14ac:dyDescent="0.35">
      <c r="A3" s="134"/>
      <c r="B3" s="134"/>
      <c r="E3" s="487"/>
      <c r="F3" s="487"/>
      <c r="G3" s="36"/>
      <c r="H3" s="485" t="s">
        <v>235</v>
      </c>
      <c r="I3" s="485"/>
      <c r="J3" s="485"/>
      <c r="K3" s="485"/>
      <c r="L3" s="485"/>
      <c r="M3" s="485"/>
      <c r="N3" s="485"/>
      <c r="O3" s="39"/>
      <c r="P3" s="40"/>
      <c r="R3" s="384" t="s">
        <v>6</v>
      </c>
      <c r="S3" s="385" t="s">
        <v>101</v>
      </c>
      <c r="T3" s="389">
        <v>654</v>
      </c>
      <c r="U3" s="390">
        <v>556</v>
      </c>
      <c r="V3" s="388">
        <f>T3-U3</f>
        <v>98</v>
      </c>
      <c r="W3" s="125"/>
      <c r="X3" s="33"/>
      <c r="Y3" s="33"/>
      <c r="Z3" s="33"/>
      <c r="AA3" s="126"/>
      <c r="AB3" s="33"/>
      <c r="AC3" s="34"/>
      <c r="AD3" s="33"/>
      <c r="AE3" s="34"/>
      <c r="AF3" s="33"/>
      <c r="AG3" s="33"/>
      <c r="AH3" s="214"/>
      <c r="AI3" s="33"/>
      <c r="AJ3" s="33"/>
      <c r="AK3" s="33"/>
      <c r="AL3" s="33"/>
      <c r="AM3" s="33"/>
      <c r="AN3" s="33"/>
      <c r="AO3" s="33"/>
      <c r="AP3" s="214"/>
      <c r="AQ3" s="214"/>
      <c r="AR3" s="33"/>
      <c r="AS3" s="33"/>
      <c r="AT3" s="214"/>
      <c r="AU3" s="214"/>
      <c r="AV3" s="33"/>
      <c r="AW3" s="33"/>
      <c r="AX3" s="33"/>
      <c r="AY3" s="214"/>
      <c r="AZ3" s="214"/>
      <c r="BA3" s="33"/>
      <c r="BB3" s="227"/>
      <c r="BC3" s="33"/>
      <c r="BD3" s="33"/>
      <c r="BE3" s="214"/>
      <c r="BF3" s="214"/>
    </row>
    <row r="4" spans="1:66" s="432" customFormat="1" ht="33.75" thickBot="1" x14ac:dyDescent="0.35">
      <c r="A4" s="431"/>
      <c r="B4" s="431"/>
      <c r="D4" s="433" t="s">
        <v>134</v>
      </c>
      <c r="G4" s="434"/>
      <c r="H4" s="478" t="s">
        <v>0</v>
      </c>
      <c r="I4" s="479"/>
      <c r="J4" s="479"/>
      <c r="K4" s="479"/>
      <c r="L4" s="479"/>
      <c r="M4" s="479"/>
      <c r="N4" s="480"/>
      <c r="O4" s="435"/>
      <c r="P4" s="436"/>
      <c r="R4" s="437" t="s">
        <v>44</v>
      </c>
      <c r="S4" s="438"/>
      <c r="T4" s="392">
        <f>T2/T3</f>
        <v>188.5948012232416</v>
      </c>
      <c r="U4" s="393">
        <f>U2/U3</f>
        <v>183.9820143884892</v>
      </c>
      <c r="V4" s="394">
        <f>V2/V3</f>
        <v>214.76530612244898</v>
      </c>
      <c r="W4" s="439"/>
      <c r="X4" s="440"/>
      <c r="Y4" s="440"/>
      <c r="Z4" s="440"/>
      <c r="AA4" s="441"/>
      <c r="AB4" s="440"/>
      <c r="AC4" s="442"/>
      <c r="AD4" s="440"/>
      <c r="AE4" s="442"/>
      <c r="AF4" s="440"/>
      <c r="AG4" s="440"/>
      <c r="AH4" s="443"/>
      <c r="AI4" s="440"/>
      <c r="AJ4" s="440"/>
      <c r="AK4" s="440"/>
      <c r="AL4" s="440"/>
      <c r="AM4" s="440"/>
      <c r="AN4" s="440"/>
      <c r="AO4" s="440"/>
      <c r="AP4" s="443"/>
      <c r="AQ4" s="443"/>
      <c r="AR4" s="440"/>
      <c r="AS4" s="440"/>
      <c r="AT4" s="443"/>
      <c r="AU4" s="443"/>
      <c r="AV4" s="440"/>
      <c r="AW4" s="440"/>
      <c r="AX4" s="440"/>
      <c r="AY4" s="443"/>
      <c r="AZ4" s="443"/>
      <c r="BA4" s="440"/>
      <c r="BB4" s="444"/>
      <c r="BC4" s="440"/>
      <c r="BD4" s="440"/>
      <c r="BE4" s="443"/>
      <c r="BF4" s="443"/>
    </row>
    <row r="5" spans="1:66" s="432" customFormat="1" ht="33.75" thickBot="1" x14ac:dyDescent="0.35">
      <c r="A5" s="431"/>
      <c r="B5" s="431"/>
      <c r="D5" s="445" t="s">
        <v>1</v>
      </c>
      <c r="G5" s="434"/>
      <c r="H5" s="481" t="s">
        <v>55</v>
      </c>
      <c r="I5" s="482"/>
      <c r="J5" s="482"/>
      <c r="K5" s="482"/>
      <c r="L5" s="482"/>
      <c r="M5" s="482"/>
      <c r="N5" s="483"/>
      <c r="O5" s="435"/>
      <c r="P5" s="436"/>
      <c r="R5" s="437" t="s">
        <v>44</v>
      </c>
      <c r="S5" s="438"/>
      <c r="T5" s="446" t="s">
        <v>104</v>
      </c>
      <c r="U5" s="447" t="s">
        <v>103</v>
      </c>
      <c r="V5" s="448" t="s">
        <v>105</v>
      </c>
      <c r="W5" s="440"/>
      <c r="X5" s="440"/>
      <c r="Y5" s="440"/>
      <c r="Z5" s="440"/>
      <c r="AA5" s="449"/>
      <c r="AB5" s="440"/>
      <c r="AC5" s="442"/>
      <c r="AD5" s="440"/>
      <c r="AE5" s="442"/>
      <c r="AF5" s="440"/>
      <c r="AG5" s="440"/>
      <c r="AH5" s="443"/>
      <c r="AI5" s="450"/>
      <c r="AJ5" s="440"/>
      <c r="AK5" s="440"/>
      <c r="AL5" s="440"/>
      <c r="AM5" s="440"/>
      <c r="AN5" s="440"/>
      <c r="AO5" s="440"/>
      <c r="AP5" s="443"/>
      <c r="AQ5" s="443"/>
      <c r="AR5" s="440"/>
      <c r="AS5" s="440"/>
      <c r="AT5" s="443"/>
      <c r="AU5" s="443"/>
      <c r="AV5" s="440"/>
      <c r="AW5" s="440"/>
      <c r="AX5" s="440"/>
      <c r="AY5" s="443"/>
      <c r="AZ5" s="443"/>
      <c r="BA5" s="440"/>
      <c r="BB5" s="444"/>
      <c r="BC5" s="440"/>
      <c r="BD5" s="440"/>
      <c r="BE5" s="443"/>
      <c r="BF5" s="443"/>
    </row>
    <row r="6" spans="1:66" s="432" customFormat="1" ht="17.25" thickBot="1" x14ac:dyDescent="0.35">
      <c r="A6" s="431"/>
      <c r="B6" s="431"/>
      <c r="D6" s="451" t="s">
        <v>142</v>
      </c>
      <c r="G6" s="434"/>
      <c r="H6" s="434"/>
      <c r="I6" s="434"/>
      <c r="J6" s="434"/>
      <c r="K6" s="434"/>
      <c r="L6" s="434"/>
      <c r="M6" s="434"/>
      <c r="N6" s="110" t="s">
        <v>68</v>
      </c>
      <c r="O6" s="435"/>
      <c r="P6" s="436"/>
      <c r="R6" s="452" t="s">
        <v>6</v>
      </c>
      <c r="S6" s="453"/>
      <c r="T6" s="395">
        <v>44</v>
      </c>
      <c r="U6" s="396">
        <v>36</v>
      </c>
      <c r="V6" s="399">
        <v>112500</v>
      </c>
      <c r="W6" s="454"/>
      <c r="X6" s="440"/>
      <c r="Y6" s="440"/>
      <c r="Z6" s="440"/>
      <c r="AA6" s="455"/>
      <c r="AB6" s="440"/>
      <c r="AC6" s="442"/>
      <c r="AD6" s="440"/>
      <c r="AE6" s="442"/>
      <c r="AF6" s="440"/>
      <c r="AG6" s="440"/>
      <c r="AH6" s="443"/>
      <c r="AI6" s="450"/>
      <c r="AJ6" s="440"/>
      <c r="AK6" s="440"/>
      <c r="AL6" s="440"/>
      <c r="AM6" s="440"/>
      <c r="AN6" s="440"/>
      <c r="AO6" s="440"/>
      <c r="AP6" s="443"/>
      <c r="AQ6" s="443"/>
      <c r="AR6" s="440"/>
      <c r="AS6" s="440"/>
      <c r="AT6" s="443"/>
      <c r="AU6" s="443"/>
      <c r="AV6" s="440"/>
      <c r="AW6" s="440"/>
      <c r="AX6" s="440"/>
      <c r="AY6" s="443"/>
      <c r="AZ6" s="443"/>
      <c r="BA6" s="440"/>
      <c r="BB6" s="444"/>
      <c r="BC6" s="440"/>
      <c r="BD6" s="440"/>
      <c r="BE6" s="443"/>
      <c r="BF6" s="443"/>
    </row>
    <row r="7" spans="1:66" s="41" customFormat="1" ht="45.75" thickBot="1" x14ac:dyDescent="0.35">
      <c r="A7" s="135"/>
      <c r="B7" s="135"/>
      <c r="D7" s="451" t="s">
        <v>336</v>
      </c>
      <c r="F7" s="42"/>
      <c r="G7" s="468" t="s">
        <v>17</v>
      </c>
      <c r="H7" s="73" t="s">
        <v>62</v>
      </c>
      <c r="I7" s="73" t="s">
        <v>63</v>
      </c>
      <c r="J7" s="73" t="s">
        <v>69</v>
      </c>
      <c r="K7" s="74" t="s">
        <v>64</v>
      </c>
      <c r="L7" s="74" t="s">
        <v>65</v>
      </c>
      <c r="M7" s="74" t="s">
        <v>66</v>
      </c>
      <c r="N7" s="148" t="s">
        <v>67</v>
      </c>
      <c r="O7" s="43"/>
      <c r="P7" s="40"/>
      <c r="R7" s="391" t="s">
        <v>44</v>
      </c>
      <c r="S7" s="127"/>
      <c r="T7" s="397">
        <v>44237</v>
      </c>
      <c r="U7" s="398">
        <v>44235</v>
      </c>
      <c r="V7" s="415">
        <v>21</v>
      </c>
      <c r="W7" s="127"/>
      <c r="X7" s="127"/>
      <c r="Y7" s="127"/>
      <c r="Z7" s="127"/>
      <c r="AA7" s="127"/>
      <c r="AB7" s="127"/>
      <c r="AC7" s="210"/>
      <c r="AD7" s="127"/>
      <c r="AE7" s="210"/>
      <c r="AF7" s="127"/>
      <c r="AG7" s="127"/>
      <c r="AH7" s="129"/>
      <c r="AI7" s="200"/>
      <c r="AJ7" s="200"/>
      <c r="AK7" s="127"/>
      <c r="AL7" s="286"/>
      <c r="AM7" s="127"/>
      <c r="AN7" s="127"/>
      <c r="AO7" s="127"/>
      <c r="AP7" s="129"/>
      <c r="AQ7" s="129"/>
      <c r="AR7" s="127"/>
      <c r="AS7" s="127"/>
      <c r="AT7" s="129"/>
      <c r="AU7" s="129"/>
      <c r="AV7" s="127"/>
      <c r="AW7" s="127"/>
      <c r="AX7" s="127"/>
      <c r="AY7" s="129"/>
      <c r="AZ7" s="129"/>
      <c r="BA7" s="127"/>
      <c r="BB7" s="228"/>
      <c r="BC7" s="127"/>
      <c r="BD7" s="127"/>
      <c r="BE7" s="129"/>
      <c r="BF7" s="129"/>
    </row>
    <row r="8" spans="1:66" s="37" customFormat="1" ht="63.75" thickBot="1" x14ac:dyDescent="0.35">
      <c r="A8" s="134"/>
      <c r="B8" s="134"/>
      <c r="D8" s="186" t="s">
        <v>2</v>
      </c>
      <c r="E8" s="44"/>
      <c r="F8" s="45"/>
      <c r="G8" s="469"/>
      <c r="H8" s="75"/>
      <c r="I8" s="75"/>
      <c r="J8" s="343"/>
      <c r="K8" s="76"/>
      <c r="L8" s="76"/>
      <c r="M8" s="76"/>
      <c r="N8" s="149"/>
      <c r="O8" s="36"/>
      <c r="P8" s="40"/>
      <c r="R8" s="391" t="s">
        <v>45</v>
      </c>
      <c r="S8" s="372" t="s">
        <v>255</v>
      </c>
      <c r="T8" s="399" t="s">
        <v>378</v>
      </c>
      <c r="U8" s="400" t="s">
        <v>358</v>
      </c>
      <c r="V8" s="33"/>
      <c r="W8" s="33"/>
      <c r="X8" s="33"/>
      <c r="Y8" s="33"/>
      <c r="Z8" s="33"/>
      <c r="AA8" s="33"/>
      <c r="AB8" s="33"/>
      <c r="AC8" s="34"/>
      <c r="AD8" s="33"/>
      <c r="AE8" s="34"/>
      <c r="AF8" s="33"/>
      <c r="AG8" s="33"/>
      <c r="AH8" s="214"/>
      <c r="AI8" s="285"/>
      <c r="AJ8" s="33"/>
      <c r="AK8" s="33"/>
      <c r="AL8" s="33"/>
      <c r="AM8" s="33"/>
      <c r="AN8" s="33"/>
      <c r="AO8" s="33"/>
      <c r="AP8" s="214"/>
      <c r="AQ8" s="214"/>
      <c r="AR8" s="33"/>
      <c r="AS8" s="33"/>
      <c r="AT8" s="214"/>
      <c r="AU8" s="214"/>
      <c r="AV8" s="33"/>
      <c r="AW8" s="33"/>
      <c r="AX8" s="33"/>
      <c r="AY8" s="214"/>
      <c r="AZ8" s="214"/>
      <c r="BA8" s="33"/>
      <c r="BB8" s="227"/>
      <c r="BC8" s="33"/>
      <c r="BD8" s="33"/>
      <c r="BE8" s="214"/>
      <c r="BF8" s="214"/>
    </row>
    <row r="9" spans="1:66" s="145" customFormat="1" ht="17.25" thickBot="1" x14ac:dyDescent="0.3">
      <c r="A9" s="135"/>
      <c r="B9" s="135"/>
      <c r="D9" s="38"/>
      <c r="E9" s="368" t="s">
        <v>254</v>
      </c>
      <c r="F9" s="173"/>
      <c r="G9" s="174" t="s">
        <v>135</v>
      </c>
      <c r="H9" s="146">
        <v>83</v>
      </c>
      <c r="I9" s="146">
        <v>67</v>
      </c>
      <c r="J9" s="146">
        <v>36</v>
      </c>
      <c r="K9" s="143">
        <v>126</v>
      </c>
      <c r="L9" s="144">
        <v>134</v>
      </c>
      <c r="M9" s="144">
        <v>225</v>
      </c>
      <c r="N9" s="461">
        <v>10</v>
      </c>
      <c r="P9" s="147"/>
      <c r="R9" s="401"/>
      <c r="S9" s="385">
        <f>SUM(H9:N9)</f>
        <v>681</v>
      </c>
      <c r="T9" s="369" t="s">
        <v>121</v>
      </c>
      <c r="U9" s="32"/>
      <c r="V9" s="32"/>
      <c r="W9" s="32"/>
      <c r="X9" s="32"/>
      <c r="Y9" s="32"/>
      <c r="Z9" s="32"/>
      <c r="AA9" s="32"/>
      <c r="AB9" s="32"/>
      <c r="AC9" s="211"/>
      <c r="AD9" s="32"/>
      <c r="AE9" s="211"/>
      <c r="AF9" s="32"/>
      <c r="AG9" s="32"/>
      <c r="AH9" s="215"/>
      <c r="AI9" s="32"/>
      <c r="AJ9" s="32"/>
      <c r="AK9" s="32"/>
      <c r="AL9" s="32"/>
      <c r="AM9" s="32"/>
      <c r="AN9" s="32"/>
      <c r="AO9" s="32"/>
      <c r="AP9" s="215"/>
      <c r="AQ9" s="215"/>
      <c r="AR9" s="32"/>
      <c r="AS9" s="32"/>
      <c r="AT9" s="215"/>
      <c r="AU9" s="215"/>
      <c r="AV9" s="32"/>
      <c r="AW9" s="32"/>
      <c r="AX9" s="32"/>
      <c r="AY9" s="215"/>
      <c r="AZ9" s="215"/>
      <c r="BA9" s="32"/>
      <c r="BB9" s="229"/>
      <c r="BC9" s="32"/>
      <c r="BD9" s="32"/>
      <c r="BE9" s="215"/>
      <c r="BF9" s="215"/>
    </row>
    <row r="10" spans="1:66" s="9" customFormat="1" ht="45" x14ac:dyDescent="0.25">
      <c r="A10" s="140" t="s">
        <v>15</v>
      </c>
      <c r="B10" s="140" t="s">
        <v>102</v>
      </c>
      <c r="C10" s="41"/>
      <c r="D10" s="80" t="s">
        <v>3</v>
      </c>
      <c r="E10" s="111" t="s">
        <v>70</v>
      </c>
      <c r="F10" s="81" t="s">
        <v>4</v>
      </c>
      <c r="G10" s="77"/>
      <c r="H10" s="77">
        <v>40</v>
      </c>
      <c r="I10" s="77">
        <v>70</v>
      </c>
      <c r="J10" s="77">
        <v>75</v>
      </c>
      <c r="K10" s="78">
        <v>140</v>
      </c>
      <c r="L10" s="79">
        <v>175</v>
      </c>
      <c r="M10" s="79">
        <v>195</v>
      </c>
      <c r="N10" s="150">
        <v>450</v>
      </c>
      <c r="O10" s="82" t="s">
        <v>47</v>
      </c>
      <c r="P10" s="83" t="s">
        <v>130</v>
      </c>
      <c r="Q10" s="83" t="s">
        <v>250</v>
      </c>
      <c r="R10" s="391" t="s">
        <v>44</v>
      </c>
      <c r="S10" s="402">
        <f>S9-T3</f>
        <v>27</v>
      </c>
      <c r="T10" s="127"/>
      <c r="U10" s="127"/>
      <c r="V10" s="127"/>
      <c r="W10" s="127"/>
      <c r="X10" s="127"/>
      <c r="Y10" s="127"/>
      <c r="Z10" s="127"/>
      <c r="AA10" s="127"/>
      <c r="AB10" s="127"/>
      <c r="AC10" s="210"/>
      <c r="AD10" s="127"/>
      <c r="AE10" s="210"/>
      <c r="AF10" s="127"/>
      <c r="AG10" s="127"/>
      <c r="AH10" s="129"/>
      <c r="AI10" s="127"/>
      <c r="AJ10" s="127"/>
      <c r="AK10" s="127"/>
      <c r="AL10" s="127"/>
      <c r="AM10" s="127"/>
      <c r="AN10" s="127"/>
      <c r="AO10" s="127"/>
      <c r="AP10" s="129"/>
      <c r="AQ10" s="129"/>
      <c r="AR10" s="127"/>
      <c r="AS10" s="127"/>
      <c r="AT10" s="129"/>
      <c r="AU10" s="129"/>
      <c r="AV10" s="127"/>
      <c r="AW10" s="127"/>
      <c r="AX10" s="127"/>
      <c r="AY10" s="129"/>
      <c r="AZ10" s="129"/>
      <c r="BA10" s="127"/>
      <c r="BB10" s="228"/>
      <c r="BC10" s="127"/>
      <c r="BD10" s="127"/>
      <c r="BE10" s="129"/>
      <c r="BF10" s="129"/>
      <c r="BG10" s="41"/>
      <c r="BH10" s="41"/>
      <c r="BI10" s="41"/>
      <c r="BJ10" s="41"/>
      <c r="BK10" s="41"/>
      <c r="BL10" s="41"/>
      <c r="BM10" s="41"/>
      <c r="BN10" s="41"/>
    </row>
    <row r="11" spans="1:66" s="10" customFormat="1" ht="21" x14ac:dyDescent="0.3">
      <c r="A11" s="134"/>
      <c r="B11" s="134"/>
      <c r="C11" s="46"/>
      <c r="D11" s="101"/>
      <c r="E11" s="102" t="s">
        <v>57</v>
      </c>
      <c r="F11" s="103"/>
      <c r="G11" s="151"/>
      <c r="H11" s="152"/>
      <c r="I11" s="152"/>
      <c r="J11" s="152"/>
      <c r="K11" s="152"/>
      <c r="L11" s="152"/>
      <c r="M11" s="152"/>
      <c r="N11" s="104" t="s">
        <v>6</v>
      </c>
      <c r="O11" s="165">
        <v>215</v>
      </c>
      <c r="P11" s="164">
        <f>450-195-40</f>
        <v>215</v>
      </c>
      <c r="Q11" s="363" t="s">
        <v>118</v>
      </c>
      <c r="R11" s="384" t="s">
        <v>6</v>
      </c>
      <c r="S11" s="128"/>
      <c r="T11" s="204">
        <v>12500</v>
      </c>
      <c r="U11" s="193">
        <v>1</v>
      </c>
      <c r="V11" s="205"/>
      <c r="W11" s="128"/>
      <c r="X11" s="128"/>
      <c r="Y11" s="128"/>
      <c r="Z11" s="128"/>
      <c r="AA11" s="128"/>
      <c r="AB11" s="128"/>
      <c r="AC11" s="212"/>
      <c r="AD11" s="128"/>
      <c r="AE11" s="212"/>
      <c r="AF11" s="128"/>
      <c r="AG11" s="128"/>
      <c r="AH11" s="201"/>
      <c r="AI11" s="128"/>
      <c r="AJ11" s="128"/>
      <c r="AK11" s="128"/>
      <c r="AL11" s="128"/>
      <c r="AM11" s="128"/>
      <c r="AN11" s="128"/>
      <c r="AO11" s="128"/>
      <c r="AP11" s="201"/>
      <c r="AQ11" s="201"/>
      <c r="AR11" s="128"/>
      <c r="AS11" s="128"/>
      <c r="AT11" s="201"/>
      <c r="AU11" s="201"/>
      <c r="AV11" s="128"/>
      <c r="AW11" s="128"/>
      <c r="AX11" s="128"/>
      <c r="AY11" s="201"/>
      <c r="AZ11" s="201"/>
      <c r="BA11" s="128"/>
      <c r="BB11" s="230"/>
      <c r="BC11" s="128"/>
      <c r="BD11" s="128"/>
      <c r="BE11" s="201"/>
      <c r="BF11" s="201"/>
      <c r="BG11" s="46"/>
      <c r="BH11" s="46"/>
      <c r="BI11" s="46"/>
      <c r="BJ11" s="46"/>
      <c r="BK11" s="46"/>
      <c r="BL11" s="46"/>
      <c r="BM11" s="46"/>
      <c r="BN11" s="46"/>
    </row>
    <row r="12" spans="1:66" s="10" customFormat="1" ht="21" x14ac:dyDescent="0.3">
      <c r="A12" s="134"/>
      <c r="B12" s="134"/>
      <c r="C12" s="46"/>
      <c r="D12" s="11"/>
      <c r="E12" s="12" t="s">
        <v>49</v>
      </c>
      <c r="F12" s="13" t="s">
        <v>73</v>
      </c>
      <c r="G12" s="14"/>
      <c r="H12" s="1" t="s">
        <v>6</v>
      </c>
      <c r="I12" s="1"/>
      <c r="J12" s="1"/>
      <c r="K12" s="2" t="s">
        <v>6</v>
      </c>
      <c r="L12" s="2" t="s">
        <v>6</v>
      </c>
      <c r="M12" s="2"/>
      <c r="N12" s="1" t="s">
        <v>6</v>
      </c>
      <c r="O12" s="15">
        <v>40</v>
      </c>
      <c r="P12" s="16">
        <v>39.950000000000003</v>
      </c>
      <c r="Q12" s="350"/>
      <c r="R12" s="384" t="s">
        <v>6</v>
      </c>
      <c r="S12" s="128"/>
      <c r="T12" s="204">
        <f t="shared" ref="T12:T15" si="0">T11+2500</f>
        <v>15000</v>
      </c>
      <c r="U12" s="193">
        <v>2</v>
      </c>
      <c r="V12" s="205"/>
      <c r="W12" s="128"/>
      <c r="X12" s="128"/>
      <c r="Y12" s="128"/>
      <c r="Z12" s="128"/>
      <c r="AA12" s="128"/>
      <c r="AB12" s="128"/>
      <c r="AC12" s="212"/>
      <c r="AD12" s="128"/>
      <c r="AE12" s="212"/>
      <c r="AF12" s="128"/>
      <c r="AG12" s="128"/>
      <c r="AH12" s="201"/>
      <c r="AI12" s="128"/>
      <c r="AJ12" s="128"/>
      <c r="AK12" s="128"/>
      <c r="AL12" s="128"/>
      <c r="AM12" s="128"/>
      <c r="AN12" s="128"/>
      <c r="AO12" s="128"/>
      <c r="AP12" s="201"/>
      <c r="AQ12" s="201"/>
      <c r="AR12" s="128"/>
      <c r="AS12" s="128"/>
      <c r="AT12" s="201"/>
      <c r="AU12" s="201"/>
      <c r="AV12" s="128"/>
      <c r="AW12" s="128"/>
      <c r="AX12" s="128"/>
      <c r="AY12" s="201"/>
      <c r="AZ12" s="201"/>
      <c r="BA12" s="128"/>
      <c r="BB12" s="230"/>
      <c r="BC12" s="128"/>
      <c r="BD12" s="128"/>
      <c r="BE12" s="201"/>
      <c r="BF12" s="201"/>
      <c r="BG12" s="46"/>
      <c r="BH12" s="46"/>
      <c r="BI12" s="46"/>
      <c r="BJ12" s="46"/>
      <c r="BK12" s="46"/>
      <c r="BL12" s="46"/>
      <c r="BM12" s="46"/>
      <c r="BN12" s="46"/>
    </row>
    <row r="13" spans="1:66" s="10" customFormat="1" ht="21" x14ac:dyDescent="0.3">
      <c r="A13" s="134"/>
      <c r="B13" s="134"/>
      <c r="C13" s="46"/>
      <c r="D13" s="11"/>
      <c r="E13" s="12" t="s">
        <v>50</v>
      </c>
      <c r="F13" s="13" t="s">
        <v>73</v>
      </c>
      <c r="G13" s="17"/>
      <c r="H13" s="2"/>
      <c r="I13" s="2"/>
      <c r="J13" s="2"/>
      <c r="K13" s="2"/>
      <c r="L13" s="2"/>
      <c r="M13" s="2" t="s">
        <v>6</v>
      </c>
      <c r="N13" s="2" t="s">
        <v>6</v>
      </c>
      <c r="O13" s="15">
        <v>65</v>
      </c>
      <c r="P13" s="16">
        <v>64.95</v>
      </c>
      <c r="Q13" s="350"/>
      <c r="R13" s="384" t="s">
        <v>6</v>
      </c>
      <c r="S13" s="128"/>
      <c r="T13" s="204">
        <f t="shared" si="0"/>
        <v>17500</v>
      </c>
      <c r="U13" s="193">
        <v>3</v>
      </c>
      <c r="V13" s="205"/>
      <c r="W13" s="128"/>
      <c r="X13" s="128"/>
      <c r="Y13" s="128"/>
      <c r="Z13" s="128"/>
      <c r="AA13" s="128"/>
      <c r="AB13" s="128"/>
      <c r="AC13" s="212"/>
      <c r="AD13" s="128"/>
      <c r="AE13" s="212"/>
      <c r="AF13" s="128"/>
      <c r="AG13" s="128"/>
      <c r="AH13" s="201"/>
      <c r="AI13" s="128"/>
      <c r="AJ13" s="128"/>
      <c r="AK13" s="128"/>
      <c r="AL13" s="128"/>
      <c r="AM13" s="128"/>
      <c r="AN13" s="128"/>
      <c r="AO13" s="128"/>
      <c r="AP13" s="201"/>
      <c r="AQ13" s="201"/>
      <c r="AR13" s="128"/>
      <c r="AS13" s="128"/>
      <c r="AT13" s="201"/>
      <c r="AU13" s="201"/>
      <c r="AV13" s="128"/>
      <c r="AW13" s="128"/>
      <c r="AX13" s="128"/>
      <c r="AY13" s="201"/>
      <c r="AZ13" s="201"/>
      <c r="BA13" s="128"/>
      <c r="BB13" s="230"/>
      <c r="BC13" s="128"/>
      <c r="BD13" s="128"/>
      <c r="BE13" s="201"/>
      <c r="BF13" s="201"/>
      <c r="BG13" s="46"/>
      <c r="BH13" s="46"/>
      <c r="BI13" s="46"/>
      <c r="BJ13" s="46"/>
      <c r="BK13" s="46"/>
      <c r="BL13" s="46"/>
      <c r="BM13" s="46"/>
      <c r="BN13" s="46"/>
    </row>
    <row r="14" spans="1:66" s="10" customFormat="1" ht="21" x14ac:dyDescent="0.25">
      <c r="A14" s="140" t="s">
        <v>275</v>
      </c>
      <c r="B14" s="140" t="s">
        <v>276</v>
      </c>
      <c r="C14" s="46"/>
      <c r="D14" s="11"/>
      <c r="E14" s="417" t="s">
        <v>288</v>
      </c>
      <c r="F14" s="13" t="s">
        <v>73</v>
      </c>
      <c r="G14" s="17"/>
      <c r="H14" s="2"/>
      <c r="I14" s="2"/>
      <c r="J14" s="2"/>
      <c r="K14" s="2" t="s">
        <v>6</v>
      </c>
      <c r="L14" s="2" t="s">
        <v>6</v>
      </c>
      <c r="M14" s="2" t="s">
        <v>6</v>
      </c>
      <c r="N14" s="2" t="s">
        <v>6</v>
      </c>
      <c r="O14" s="15">
        <v>20</v>
      </c>
      <c r="P14" s="16">
        <v>19.95</v>
      </c>
      <c r="Q14" s="350"/>
      <c r="R14" s="384" t="s">
        <v>6</v>
      </c>
      <c r="S14" s="128"/>
      <c r="T14" s="204">
        <f t="shared" si="0"/>
        <v>20000</v>
      </c>
      <c r="U14" s="193">
        <v>4</v>
      </c>
      <c r="V14" s="205"/>
      <c r="W14" s="128"/>
      <c r="X14" s="128"/>
      <c r="Y14" s="128"/>
      <c r="Z14" s="128"/>
      <c r="AA14" s="128"/>
      <c r="AB14" s="128"/>
      <c r="AC14" s="212"/>
      <c r="AD14" s="128"/>
      <c r="AE14" s="212"/>
      <c r="AF14" s="128"/>
      <c r="AG14" s="128"/>
      <c r="AH14" s="201"/>
      <c r="AI14" s="128"/>
      <c r="AJ14" s="128"/>
      <c r="AK14" s="128"/>
      <c r="AL14" s="128"/>
      <c r="AM14" s="128"/>
      <c r="AN14" s="128"/>
      <c r="AO14" s="128"/>
      <c r="AP14" s="201"/>
      <c r="AQ14" s="201"/>
      <c r="AR14" s="128"/>
      <c r="AS14" s="128"/>
      <c r="AT14" s="201"/>
      <c r="AU14" s="201"/>
      <c r="AV14" s="128"/>
      <c r="AW14" s="128"/>
      <c r="AX14" s="128"/>
      <c r="AY14" s="201"/>
      <c r="AZ14" s="201"/>
      <c r="BA14" s="128"/>
      <c r="BB14" s="230"/>
      <c r="BC14" s="128"/>
      <c r="BD14" s="128"/>
      <c r="BE14" s="201"/>
      <c r="BF14" s="201"/>
      <c r="BG14" s="46"/>
      <c r="BH14" s="46"/>
      <c r="BI14" s="46"/>
      <c r="BJ14" s="46"/>
      <c r="BK14" s="46"/>
      <c r="BL14" s="46"/>
      <c r="BM14" s="46"/>
      <c r="BN14" s="46"/>
    </row>
    <row r="15" spans="1:66" s="10" customFormat="1" ht="21" x14ac:dyDescent="0.25">
      <c r="A15" s="140" t="s">
        <v>331</v>
      </c>
      <c r="B15" s="140" t="s">
        <v>326</v>
      </c>
      <c r="C15" s="46"/>
      <c r="D15" s="11"/>
      <c r="E15" s="18" t="s">
        <v>384</v>
      </c>
      <c r="F15" s="13" t="s">
        <v>73</v>
      </c>
      <c r="G15" s="19"/>
      <c r="H15" s="3"/>
      <c r="I15" s="3"/>
      <c r="J15" s="3"/>
      <c r="K15" s="2" t="s">
        <v>6</v>
      </c>
      <c r="L15" s="2" t="s">
        <v>6</v>
      </c>
      <c r="M15" s="2" t="s">
        <v>6</v>
      </c>
      <c r="N15" s="3" t="s">
        <v>6</v>
      </c>
      <c r="O15" s="15">
        <v>20</v>
      </c>
      <c r="P15" s="16">
        <v>19.95</v>
      </c>
      <c r="Q15" s="350"/>
      <c r="R15" s="384" t="s">
        <v>6</v>
      </c>
      <c r="S15" s="128"/>
      <c r="T15" s="204">
        <f t="shared" si="0"/>
        <v>22500</v>
      </c>
      <c r="U15" s="193">
        <v>5</v>
      </c>
      <c r="V15" s="205"/>
      <c r="W15" s="128"/>
      <c r="X15" s="128"/>
      <c r="Y15" s="128"/>
      <c r="Z15" s="128"/>
      <c r="AA15" s="128"/>
      <c r="AB15" s="128"/>
      <c r="AC15" s="212"/>
      <c r="AD15" s="128"/>
      <c r="AE15" s="212"/>
      <c r="AF15" s="128"/>
      <c r="AG15" s="128"/>
      <c r="AH15" s="201"/>
      <c r="AI15" s="128"/>
      <c r="AJ15" s="128"/>
      <c r="AK15" s="128"/>
      <c r="AL15" s="128"/>
      <c r="AM15" s="128"/>
      <c r="AN15" s="128"/>
      <c r="AO15" s="128"/>
      <c r="AP15" s="201"/>
      <c r="AQ15" s="201"/>
      <c r="AR15" s="128"/>
      <c r="AS15" s="128"/>
      <c r="AT15" s="201"/>
      <c r="AU15" s="201"/>
      <c r="AV15" s="128"/>
      <c r="AW15" s="128"/>
      <c r="AX15" s="128"/>
      <c r="AY15" s="201"/>
      <c r="AZ15" s="201"/>
      <c r="BA15" s="128"/>
      <c r="BB15" s="230"/>
      <c r="BC15" s="128"/>
      <c r="BD15" s="128"/>
      <c r="BE15" s="201"/>
      <c r="BF15" s="201"/>
      <c r="BG15" s="46"/>
      <c r="BH15" s="46"/>
      <c r="BI15" s="46"/>
      <c r="BJ15" s="46"/>
      <c r="BK15" s="46"/>
      <c r="BL15" s="46"/>
      <c r="BM15" s="46"/>
      <c r="BN15" s="46"/>
    </row>
    <row r="16" spans="1:66" s="10" customFormat="1" ht="21" x14ac:dyDescent="0.25">
      <c r="A16" s="140" t="s">
        <v>323</v>
      </c>
      <c r="B16" s="140" t="s">
        <v>332</v>
      </c>
      <c r="C16" s="46"/>
      <c r="D16" s="11"/>
      <c r="E16" s="12" t="s">
        <v>328</v>
      </c>
      <c r="F16" s="13" t="s">
        <v>73</v>
      </c>
      <c r="G16" s="17"/>
      <c r="H16" s="2"/>
      <c r="I16" s="2"/>
      <c r="J16" s="2"/>
      <c r="K16" s="2" t="s">
        <v>6</v>
      </c>
      <c r="L16" s="2" t="s">
        <v>6</v>
      </c>
      <c r="M16" s="2" t="s">
        <v>6</v>
      </c>
      <c r="N16" s="2" t="s">
        <v>6</v>
      </c>
      <c r="O16" s="15">
        <v>20</v>
      </c>
      <c r="P16" s="16">
        <v>19.95</v>
      </c>
      <c r="Q16" s="350"/>
      <c r="R16" s="384" t="s">
        <v>6</v>
      </c>
      <c r="S16" s="128"/>
      <c r="T16" s="204">
        <f t="shared" ref="T16:T26" si="1">T15+2500</f>
        <v>25000</v>
      </c>
      <c r="U16" s="193">
        <v>6</v>
      </c>
      <c r="V16" s="205"/>
      <c r="W16" s="128"/>
      <c r="X16" s="128"/>
      <c r="Y16" s="128"/>
      <c r="Z16" s="128"/>
      <c r="AA16" s="128"/>
      <c r="AB16" s="128"/>
      <c r="AC16" s="212"/>
      <c r="AD16" s="128"/>
      <c r="AE16" s="212"/>
      <c r="AF16" s="128"/>
      <c r="AG16" s="128"/>
      <c r="AH16" s="201"/>
      <c r="AI16" s="128"/>
      <c r="AJ16" s="128"/>
      <c r="AK16" s="128"/>
      <c r="AL16" s="128"/>
      <c r="AM16" s="128"/>
      <c r="AN16" s="128"/>
      <c r="AO16" s="128"/>
      <c r="AP16" s="201"/>
      <c r="AQ16" s="201"/>
      <c r="AR16" s="128"/>
      <c r="AS16" s="128"/>
      <c r="AT16" s="201"/>
      <c r="AU16" s="201"/>
      <c r="AV16" s="128"/>
      <c r="AW16" s="128"/>
      <c r="AX16" s="128"/>
      <c r="AY16" s="201"/>
      <c r="AZ16" s="201"/>
      <c r="BA16" s="128"/>
      <c r="BB16" s="230"/>
      <c r="BC16" s="128"/>
      <c r="BD16" s="128"/>
      <c r="BE16" s="201"/>
      <c r="BF16" s="201"/>
      <c r="BG16" s="46"/>
      <c r="BH16" s="46"/>
      <c r="BI16" s="46"/>
      <c r="BJ16" s="46"/>
      <c r="BK16" s="46"/>
      <c r="BL16" s="46"/>
      <c r="BM16" s="46"/>
      <c r="BN16" s="46"/>
    </row>
    <row r="17" spans="1:66" s="10" customFormat="1" ht="21" x14ac:dyDescent="0.3">
      <c r="A17" s="134"/>
      <c r="B17" s="134"/>
      <c r="C17" s="46"/>
      <c r="D17" s="11"/>
      <c r="E17" s="12" t="s">
        <v>48</v>
      </c>
      <c r="F17" s="13" t="s">
        <v>73</v>
      </c>
      <c r="G17" s="17"/>
      <c r="H17" s="2"/>
      <c r="I17" s="2"/>
      <c r="J17" s="2"/>
      <c r="K17" s="2" t="s">
        <v>6</v>
      </c>
      <c r="L17" s="2" t="s">
        <v>6</v>
      </c>
      <c r="M17" s="2" t="s">
        <v>6</v>
      </c>
      <c r="N17" s="2" t="s">
        <v>6</v>
      </c>
      <c r="O17" s="20">
        <v>15</v>
      </c>
      <c r="P17" s="16">
        <v>14.95</v>
      </c>
      <c r="Q17" s="350"/>
      <c r="R17" s="384" t="s">
        <v>6</v>
      </c>
      <c r="S17" s="128"/>
      <c r="T17" s="204">
        <f t="shared" si="1"/>
        <v>27500</v>
      </c>
      <c r="U17" s="193">
        <v>7</v>
      </c>
      <c r="V17" s="205"/>
      <c r="W17" s="127"/>
      <c r="X17" s="128"/>
      <c r="Y17" s="128"/>
      <c r="Z17" s="128"/>
      <c r="AA17" s="128"/>
      <c r="AB17" s="128"/>
      <c r="AC17" s="212"/>
      <c r="AD17" s="128"/>
      <c r="AE17" s="212"/>
      <c r="AF17" s="128"/>
      <c r="AG17" s="128"/>
      <c r="AH17" s="201"/>
      <c r="AI17" s="128"/>
      <c r="AJ17" s="128"/>
      <c r="AK17" s="128"/>
      <c r="AL17" s="128"/>
      <c r="AM17" s="128"/>
      <c r="AN17" s="128"/>
      <c r="AO17" s="128"/>
      <c r="AP17" s="201"/>
      <c r="AQ17" s="201"/>
      <c r="AR17" s="128"/>
      <c r="AS17" s="128"/>
      <c r="AT17" s="201"/>
      <c r="AU17" s="201"/>
      <c r="AV17" s="128"/>
      <c r="AW17" s="128"/>
      <c r="AX17" s="128"/>
      <c r="AY17" s="201"/>
      <c r="AZ17" s="201"/>
      <c r="BA17" s="128"/>
      <c r="BB17" s="230"/>
      <c r="BC17" s="128"/>
      <c r="BD17" s="128"/>
      <c r="BE17" s="201"/>
      <c r="BF17" s="201"/>
      <c r="BG17" s="46"/>
      <c r="BH17" s="46"/>
      <c r="BI17" s="46"/>
      <c r="BJ17" s="46"/>
      <c r="BK17" s="46"/>
      <c r="BL17" s="46"/>
      <c r="BM17" s="46"/>
      <c r="BN17" s="46"/>
    </row>
    <row r="18" spans="1:66" s="9" customFormat="1" ht="21" x14ac:dyDescent="0.3">
      <c r="A18" s="134"/>
      <c r="B18" s="134"/>
      <c r="C18" s="41"/>
      <c r="D18" s="11"/>
      <c r="E18" s="12" t="s">
        <v>51</v>
      </c>
      <c r="F18" s="13" t="s">
        <v>73</v>
      </c>
      <c r="G18" s="14"/>
      <c r="H18" s="1"/>
      <c r="I18" s="1"/>
      <c r="J18" s="1"/>
      <c r="K18" s="2" t="s">
        <v>6</v>
      </c>
      <c r="L18" s="2" t="s">
        <v>6</v>
      </c>
      <c r="M18" s="2" t="s">
        <v>6</v>
      </c>
      <c r="N18" s="1" t="s">
        <v>6</v>
      </c>
      <c r="O18" s="20">
        <v>15</v>
      </c>
      <c r="P18" s="16">
        <v>14.95</v>
      </c>
      <c r="Q18" s="350"/>
      <c r="R18" s="384" t="s">
        <v>6</v>
      </c>
      <c r="S18" s="127"/>
      <c r="T18" s="204">
        <f t="shared" si="1"/>
        <v>30000</v>
      </c>
      <c r="U18" s="193">
        <v>8</v>
      </c>
      <c r="V18" s="205"/>
      <c r="W18" s="127"/>
      <c r="X18" s="127"/>
      <c r="Y18" s="127"/>
      <c r="Z18" s="127"/>
      <c r="AA18" s="127"/>
      <c r="AB18" s="127"/>
      <c r="AC18" s="210"/>
      <c r="AD18" s="127"/>
      <c r="AE18" s="210"/>
      <c r="AF18" s="127"/>
      <c r="AG18" s="127"/>
      <c r="AH18" s="129"/>
      <c r="AI18" s="127"/>
      <c r="AJ18" s="127"/>
      <c r="AK18" s="127"/>
      <c r="AL18" s="127"/>
      <c r="AM18" s="127"/>
      <c r="AN18" s="127"/>
      <c r="AO18" s="127"/>
      <c r="AP18" s="129"/>
      <c r="AQ18" s="129"/>
      <c r="AR18" s="127"/>
      <c r="AS18" s="127"/>
      <c r="AT18" s="129"/>
      <c r="AU18" s="129"/>
      <c r="AV18" s="127"/>
      <c r="AW18" s="127"/>
      <c r="AX18" s="127"/>
      <c r="AY18" s="129"/>
      <c r="AZ18" s="129"/>
      <c r="BA18" s="127"/>
      <c r="BB18" s="228"/>
      <c r="BC18" s="127"/>
      <c r="BD18" s="127"/>
      <c r="BE18" s="129"/>
      <c r="BF18" s="129"/>
      <c r="BG18" s="41"/>
      <c r="BH18" s="41"/>
      <c r="BI18" s="41"/>
      <c r="BJ18" s="41"/>
      <c r="BK18" s="41"/>
      <c r="BL18" s="41"/>
      <c r="BM18" s="41"/>
      <c r="BN18" s="41"/>
    </row>
    <row r="19" spans="1:66" s="9" customFormat="1" ht="21" x14ac:dyDescent="0.3">
      <c r="A19" s="140" t="s">
        <v>386</v>
      </c>
      <c r="B19" s="140">
        <v>120000</v>
      </c>
      <c r="C19" s="41"/>
      <c r="D19" s="11"/>
      <c r="E19" s="12" t="s">
        <v>370</v>
      </c>
      <c r="F19" s="13" t="s">
        <v>385</v>
      </c>
      <c r="G19" s="14"/>
      <c r="H19" s="1" t="s">
        <v>6</v>
      </c>
      <c r="I19" s="1" t="s">
        <v>6</v>
      </c>
      <c r="J19" s="1"/>
      <c r="K19" s="2" t="s">
        <v>6</v>
      </c>
      <c r="L19" s="2" t="s">
        <v>6</v>
      </c>
      <c r="M19" s="2" t="s">
        <v>6</v>
      </c>
      <c r="N19" s="1" t="s">
        <v>6</v>
      </c>
      <c r="O19" s="15" t="s">
        <v>8</v>
      </c>
      <c r="P19" s="159">
        <v>4.95</v>
      </c>
      <c r="Q19" s="352" t="s">
        <v>9</v>
      </c>
      <c r="R19" s="384" t="s">
        <v>6</v>
      </c>
      <c r="S19" s="127"/>
      <c r="T19" s="313"/>
      <c r="U19" s="314"/>
      <c r="V19" s="33"/>
      <c r="W19" s="33"/>
      <c r="X19" s="127"/>
      <c r="Y19" s="127"/>
      <c r="Z19" s="127"/>
      <c r="AA19" s="127"/>
      <c r="AB19" s="127"/>
      <c r="AC19" s="210"/>
      <c r="AD19" s="127"/>
      <c r="AE19" s="210"/>
      <c r="AF19" s="127"/>
      <c r="AG19" s="127"/>
      <c r="AH19" s="129"/>
      <c r="AI19" s="127"/>
      <c r="AJ19" s="127"/>
      <c r="AK19" s="127"/>
      <c r="AL19" s="127"/>
      <c r="AM19" s="127"/>
      <c r="AN19" s="127"/>
      <c r="AO19" s="127"/>
      <c r="AP19" s="129"/>
      <c r="AQ19" s="129"/>
      <c r="AR19" s="127"/>
      <c r="AS19" s="127"/>
      <c r="AT19" s="129"/>
      <c r="AU19" s="129"/>
      <c r="AV19" s="127"/>
      <c r="AW19" s="127"/>
      <c r="AX19" s="127"/>
      <c r="AY19" s="129"/>
      <c r="AZ19" s="129"/>
      <c r="BA19" s="127"/>
      <c r="BB19" s="228"/>
      <c r="BC19" s="127"/>
      <c r="BD19" s="127"/>
      <c r="BE19" s="129"/>
      <c r="BF19" s="129"/>
      <c r="BG19" s="41"/>
      <c r="BH19" s="41"/>
      <c r="BI19" s="41"/>
      <c r="BJ19" s="41"/>
      <c r="BK19" s="41"/>
      <c r="BL19" s="41"/>
      <c r="BM19" s="41"/>
      <c r="BN19" s="41"/>
    </row>
    <row r="20" spans="1:66" s="9" customFormat="1" ht="21" x14ac:dyDescent="0.3">
      <c r="A20" s="134"/>
      <c r="B20" s="134"/>
      <c r="C20" s="41"/>
      <c r="D20" s="11"/>
      <c r="E20" s="12" t="s">
        <v>52</v>
      </c>
      <c r="F20" s="13" t="s">
        <v>73</v>
      </c>
      <c r="G20" s="17"/>
      <c r="H20" s="2"/>
      <c r="I20" s="2"/>
      <c r="J20" s="2"/>
      <c r="K20" s="2" t="s">
        <v>6</v>
      </c>
      <c r="L20" s="2" t="s">
        <v>6</v>
      </c>
      <c r="M20" s="2" t="s">
        <v>6</v>
      </c>
      <c r="N20" s="2" t="s">
        <v>6</v>
      </c>
      <c r="O20" s="20">
        <v>18</v>
      </c>
      <c r="P20" s="26">
        <v>17.95</v>
      </c>
      <c r="Q20" s="351"/>
      <c r="R20" s="384" t="s">
        <v>6</v>
      </c>
      <c r="S20" s="127"/>
      <c r="T20" s="204">
        <f>T18+2500</f>
        <v>32500</v>
      </c>
      <c r="U20" s="193">
        <v>9</v>
      </c>
      <c r="V20" s="205"/>
      <c r="W20" s="129"/>
      <c r="X20" s="127"/>
      <c r="Y20" s="127"/>
      <c r="Z20" s="127"/>
      <c r="AA20" s="127"/>
      <c r="AB20" s="127"/>
      <c r="AC20" s="210"/>
      <c r="AD20" s="127"/>
      <c r="AE20" s="210"/>
      <c r="AF20" s="127"/>
      <c r="AG20" s="127"/>
      <c r="AH20" s="129"/>
      <c r="AI20" s="127"/>
      <c r="AJ20" s="127"/>
      <c r="AK20" s="127"/>
      <c r="AL20" s="127"/>
      <c r="AM20" s="127"/>
      <c r="AN20" s="127"/>
      <c r="AO20" s="127"/>
      <c r="AP20" s="129"/>
      <c r="AQ20" s="129"/>
      <c r="AR20" s="127"/>
      <c r="AS20" s="127"/>
      <c r="AT20" s="129"/>
      <c r="AU20" s="129"/>
      <c r="AV20" s="127"/>
      <c r="AW20" s="127"/>
      <c r="AX20" s="127"/>
      <c r="AY20" s="129"/>
      <c r="AZ20" s="129"/>
      <c r="BA20" s="127"/>
      <c r="BB20" s="228"/>
      <c r="BC20" s="127"/>
      <c r="BD20" s="127"/>
      <c r="BE20" s="129"/>
      <c r="BF20" s="129"/>
      <c r="BG20" s="41"/>
      <c r="BH20" s="41"/>
      <c r="BI20" s="41"/>
      <c r="BJ20" s="41"/>
      <c r="BK20" s="41"/>
      <c r="BL20" s="41"/>
      <c r="BM20" s="41"/>
      <c r="BN20" s="41"/>
    </row>
    <row r="21" spans="1:66" s="27" customFormat="1" ht="21" x14ac:dyDescent="0.3">
      <c r="A21" s="134"/>
      <c r="B21" s="134"/>
      <c r="C21" s="47"/>
      <c r="D21" s="11"/>
      <c r="E21" s="12" t="s">
        <v>53</v>
      </c>
      <c r="F21" s="13" t="s">
        <v>74</v>
      </c>
      <c r="G21" s="17"/>
      <c r="H21" s="2"/>
      <c r="I21" s="2"/>
      <c r="J21" s="2"/>
      <c r="K21" s="2"/>
      <c r="L21" s="2" t="s">
        <v>6</v>
      </c>
      <c r="M21" s="2" t="s">
        <v>6</v>
      </c>
      <c r="N21" s="2" t="s">
        <v>6</v>
      </c>
      <c r="O21" s="20">
        <v>10</v>
      </c>
      <c r="P21" s="16">
        <v>9.9499999999999993</v>
      </c>
      <c r="Q21" s="350"/>
      <c r="R21" s="384" t="s">
        <v>6</v>
      </c>
      <c r="S21" s="129"/>
      <c r="T21" s="204">
        <f t="shared" si="1"/>
        <v>35000</v>
      </c>
      <c r="U21" s="193">
        <v>10</v>
      </c>
      <c r="V21" s="205"/>
      <c r="W21" s="377"/>
      <c r="X21" s="129"/>
      <c r="Y21" s="129"/>
      <c r="Z21" s="129"/>
      <c r="AA21" s="129"/>
      <c r="AB21" s="129"/>
      <c r="AC21" s="213"/>
      <c r="AD21" s="129"/>
      <c r="AE21" s="213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7"/>
      <c r="AS21" s="127"/>
      <c r="AT21" s="129"/>
      <c r="AU21" s="129"/>
      <c r="AV21" s="129"/>
      <c r="AW21" s="127"/>
      <c r="AX21" s="127"/>
      <c r="AY21" s="129"/>
      <c r="AZ21" s="129"/>
      <c r="BA21" s="129"/>
      <c r="BB21" s="231"/>
      <c r="BC21" s="129"/>
      <c r="BD21" s="129"/>
      <c r="BE21" s="129"/>
      <c r="BF21" s="129"/>
      <c r="BG21" s="47"/>
      <c r="BH21" s="47"/>
      <c r="BI21" s="47"/>
      <c r="BJ21" s="47"/>
      <c r="BK21" s="47"/>
      <c r="BL21" s="47"/>
      <c r="BM21" s="47"/>
      <c r="BN21" s="47"/>
    </row>
    <row r="22" spans="1:66" s="9" customFormat="1" ht="21" x14ac:dyDescent="0.3">
      <c r="A22" s="134"/>
      <c r="B22" s="134"/>
      <c r="C22" s="41"/>
      <c r="D22" s="11"/>
      <c r="E22" s="12" t="s">
        <v>75</v>
      </c>
      <c r="F22" s="13" t="s">
        <v>74</v>
      </c>
      <c r="G22" s="17"/>
      <c r="H22" s="2"/>
      <c r="I22" s="2"/>
      <c r="J22" s="2"/>
      <c r="K22" s="2"/>
      <c r="L22" s="2" t="s">
        <v>6</v>
      </c>
      <c r="M22" s="2" t="s">
        <v>6</v>
      </c>
      <c r="N22" s="2" t="s">
        <v>6</v>
      </c>
      <c r="O22" s="20">
        <v>10</v>
      </c>
      <c r="P22" s="16">
        <v>9.9499999999999993</v>
      </c>
      <c r="Q22" s="350"/>
      <c r="R22" s="384" t="s">
        <v>6</v>
      </c>
      <c r="S22" s="127"/>
      <c r="T22" s="204">
        <f t="shared" si="1"/>
        <v>37500</v>
      </c>
      <c r="U22" s="193">
        <v>11</v>
      </c>
      <c r="V22" s="205"/>
      <c r="W22" s="377"/>
      <c r="X22" s="127"/>
      <c r="Y22" s="127"/>
      <c r="Z22" s="127"/>
      <c r="AA22" s="127"/>
      <c r="AB22" s="127"/>
      <c r="AC22" s="210"/>
      <c r="AD22" s="127"/>
      <c r="AE22" s="210"/>
      <c r="AF22" s="127"/>
      <c r="AG22" s="127"/>
      <c r="AH22" s="129"/>
      <c r="AI22" s="127"/>
      <c r="AJ22" s="127"/>
      <c r="AK22" s="127"/>
      <c r="AL22" s="127"/>
      <c r="AM22" s="127"/>
      <c r="AN22" s="127"/>
      <c r="AO22" s="127"/>
      <c r="AP22" s="129"/>
      <c r="AQ22" s="129"/>
      <c r="AR22" s="127"/>
      <c r="AS22" s="127"/>
      <c r="AT22" s="129"/>
      <c r="AU22" s="129"/>
      <c r="AV22" s="127"/>
      <c r="AW22" s="127"/>
      <c r="AX22" s="127"/>
      <c r="AY22" s="129"/>
      <c r="AZ22" s="129"/>
      <c r="BA22" s="127"/>
      <c r="BB22" s="228"/>
      <c r="BC22" s="127"/>
      <c r="BD22" s="127"/>
      <c r="BE22" s="129"/>
      <c r="BF22" s="129"/>
      <c r="BG22" s="41"/>
      <c r="BH22" s="41"/>
      <c r="BI22" s="41"/>
      <c r="BJ22" s="41"/>
      <c r="BK22" s="41"/>
      <c r="BL22" s="41"/>
      <c r="BM22" s="41"/>
      <c r="BN22" s="41"/>
    </row>
    <row r="23" spans="1:66" s="9" customFormat="1" ht="21" x14ac:dyDescent="0.3">
      <c r="A23" s="134"/>
      <c r="B23" s="134"/>
      <c r="C23" s="41"/>
      <c r="D23" s="11"/>
      <c r="E23" s="12" t="s">
        <v>54</v>
      </c>
      <c r="F23" s="13" t="s">
        <v>71</v>
      </c>
      <c r="G23" s="14"/>
      <c r="H23" s="1"/>
      <c r="I23" s="1"/>
      <c r="J23" s="1"/>
      <c r="K23" s="1"/>
      <c r="L23" s="2" t="s">
        <v>6</v>
      </c>
      <c r="M23" s="2" t="s">
        <v>6</v>
      </c>
      <c r="N23" s="1" t="s">
        <v>6</v>
      </c>
      <c r="O23" s="20">
        <v>20</v>
      </c>
      <c r="P23" s="16">
        <v>19.95</v>
      </c>
      <c r="Q23" s="350"/>
      <c r="R23" s="384" t="s">
        <v>6</v>
      </c>
      <c r="S23" s="127"/>
      <c r="T23" s="204">
        <f t="shared" si="1"/>
        <v>40000</v>
      </c>
      <c r="U23" s="193">
        <v>12</v>
      </c>
      <c r="V23" s="205" t="s">
        <v>132</v>
      </c>
      <c r="W23" s="377"/>
      <c r="X23" s="127"/>
      <c r="Y23" s="127"/>
      <c r="Z23" s="127"/>
      <c r="AA23" s="127"/>
      <c r="AB23" s="127"/>
      <c r="AC23" s="210"/>
      <c r="AD23" s="127"/>
      <c r="AE23" s="210"/>
      <c r="AF23" s="127"/>
      <c r="AG23" s="127"/>
      <c r="AH23" s="129"/>
      <c r="AI23" s="127"/>
      <c r="AJ23" s="127"/>
      <c r="AK23" s="127"/>
      <c r="AL23" s="127"/>
      <c r="AM23" s="127"/>
      <c r="AN23" s="127"/>
      <c r="AO23" s="127"/>
      <c r="AP23" s="129"/>
      <c r="AQ23" s="129"/>
      <c r="AR23" s="127"/>
      <c r="AS23" s="127"/>
      <c r="AT23" s="129"/>
      <c r="AU23" s="129"/>
      <c r="AV23" s="127"/>
      <c r="AW23" s="127"/>
      <c r="AX23" s="127"/>
      <c r="AY23" s="129"/>
      <c r="AZ23" s="129"/>
      <c r="BA23" s="127"/>
      <c r="BB23" s="228"/>
      <c r="BC23" s="127"/>
      <c r="BD23" s="127"/>
      <c r="BE23" s="129"/>
      <c r="BF23" s="129"/>
      <c r="BG23" s="41"/>
      <c r="BH23" s="41"/>
      <c r="BI23" s="41"/>
      <c r="BJ23" s="41"/>
      <c r="BK23" s="41"/>
      <c r="BL23" s="41"/>
      <c r="BM23" s="41"/>
      <c r="BN23" s="41"/>
    </row>
    <row r="24" spans="1:66" s="9" customFormat="1" ht="21" x14ac:dyDescent="0.25">
      <c r="A24" s="140" t="s">
        <v>262</v>
      </c>
      <c r="B24" s="140">
        <v>50000</v>
      </c>
      <c r="C24" s="41"/>
      <c r="D24" s="11"/>
      <c r="E24" s="12" t="s">
        <v>271</v>
      </c>
      <c r="F24" s="13" t="s">
        <v>72</v>
      </c>
      <c r="G24" s="17"/>
      <c r="H24" s="2"/>
      <c r="I24" s="2"/>
      <c r="J24" s="2"/>
      <c r="K24" s="2" t="s">
        <v>6</v>
      </c>
      <c r="L24" s="2" t="s">
        <v>6</v>
      </c>
      <c r="M24" s="2" t="s">
        <v>6</v>
      </c>
      <c r="N24" s="2" t="s">
        <v>6</v>
      </c>
      <c r="O24" s="20">
        <v>20</v>
      </c>
      <c r="P24" s="16">
        <v>19.95</v>
      </c>
      <c r="Q24" s="350"/>
      <c r="R24" s="384" t="s">
        <v>6</v>
      </c>
      <c r="S24" s="127"/>
      <c r="T24" s="204">
        <f t="shared" si="1"/>
        <v>42500</v>
      </c>
      <c r="U24" s="193">
        <v>13</v>
      </c>
      <c r="V24" s="205" t="s">
        <v>143</v>
      </c>
      <c r="W24" s="377"/>
      <c r="X24" s="127"/>
      <c r="Y24" s="127"/>
      <c r="Z24" s="127"/>
      <c r="AA24" s="127"/>
      <c r="AB24" s="127"/>
      <c r="AC24" s="210"/>
      <c r="AD24" s="127"/>
      <c r="AE24" s="210"/>
      <c r="AF24" s="127"/>
      <c r="AG24" s="127"/>
      <c r="AH24" s="129"/>
      <c r="AI24" s="127"/>
      <c r="AJ24" s="127"/>
      <c r="AK24" s="127"/>
      <c r="AL24" s="127"/>
      <c r="AM24" s="127"/>
      <c r="AN24" s="127"/>
      <c r="AO24" s="127"/>
      <c r="AP24" s="129"/>
      <c r="AQ24" s="129"/>
      <c r="AR24" s="127"/>
      <c r="AS24" s="127"/>
      <c r="AT24" s="129"/>
      <c r="AU24" s="129"/>
      <c r="AV24" s="127"/>
      <c r="AW24" s="127"/>
      <c r="AX24" s="127"/>
      <c r="AY24" s="129"/>
      <c r="AZ24" s="129"/>
      <c r="BA24" s="127"/>
      <c r="BB24" s="228"/>
      <c r="BC24" s="127"/>
      <c r="BD24" s="127"/>
      <c r="BE24" s="129"/>
      <c r="BF24" s="129"/>
      <c r="BG24" s="41"/>
      <c r="BH24" s="41"/>
      <c r="BI24" s="41"/>
      <c r="BJ24" s="41"/>
      <c r="BK24" s="41"/>
      <c r="BL24" s="41"/>
      <c r="BM24" s="41"/>
      <c r="BN24" s="41"/>
    </row>
    <row r="25" spans="1:66" s="9" customFormat="1" ht="21" x14ac:dyDescent="0.25">
      <c r="A25" s="140" t="s">
        <v>270</v>
      </c>
      <c r="B25" s="140">
        <v>85000</v>
      </c>
      <c r="C25" s="41"/>
      <c r="D25" s="11"/>
      <c r="E25" s="424" t="s">
        <v>329</v>
      </c>
      <c r="F25" s="13" t="s">
        <v>327</v>
      </c>
      <c r="G25" s="17"/>
      <c r="H25" s="2"/>
      <c r="I25" s="2"/>
      <c r="J25" s="2"/>
      <c r="K25" s="2"/>
      <c r="L25" s="2"/>
      <c r="M25" s="2"/>
      <c r="N25" s="2"/>
      <c r="O25" s="20">
        <v>30</v>
      </c>
      <c r="P25" s="16">
        <v>39.950000000000003</v>
      </c>
      <c r="Q25" s="350" t="s">
        <v>9</v>
      </c>
      <c r="R25" s="384" t="s">
        <v>6</v>
      </c>
      <c r="S25" s="127"/>
      <c r="T25" s="204">
        <f t="shared" si="1"/>
        <v>45000</v>
      </c>
      <c r="U25" s="193">
        <v>14</v>
      </c>
      <c r="V25" s="205" t="s">
        <v>144</v>
      </c>
      <c r="W25" s="128"/>
      <c r="X25" s="127"/>
      <c r="Y25" s="127"/>
      <c r="Z25" s="127"/>
      <c r="AA25" s="127"/>
      <c r="AB25" s="127"/>
      <c r="AC25" s="210"/>
      <c r="AD25" s="127"/>
      <c r="AE25" s="210"/>
      <c r="AF25" s="127"/>
      <c r="AG25" s="127"/>
      <c r="AH25" s="129"/>
      <c r="AI25" s="127"/>
      <c r="AJ25" s="127"/>
      <c r="AK25" s="127"/>
      <c r="AL25" s="127"/>
      <c r="AM25" s="127"/>
      <c r="AN25" s="127"/>
      <c r="AO25" s="127"/>
      <c r="AP25" s="129"/>
      <c r="AQ25" s="129"/>
      <c r="AR25" s="127"/>
      <c r="AS25" s="127"/>
      <c r="AT25" s="129"/>
      <c r="AU25" s="129"/>
      <c r="AV25" s="127"/>
      <c r="AW25" s="127"/>
      <c r="AX25" s="127"/>
      <c r="AY25" s="129"/>
      <c r="AZ25" s="129"/>
      <c r="BA25" s="127"/>
      <c r="BB25" s="228"/>
      <c r="BC25" s="127"/>
      <c r="BD25" s="127"/>
      <c r="BE25" s="129"/>
      <c r="BF25" s="129"/>
      <c r="BG25" s="41"/>
      <c r="BH25" s="41"/>
      <c r="BI25" s="41"/>
      <c r="BJ25" s="41"/>
      <c r="BK25" s="41"/>
      <c r="BL25" s="41"/>
      <c r="BM25" s="41"/>
      <c r="BN25" s="41"/>
    </row>
    <row r="26" spans="1:66" s="9" customFormat="1" ht="21" x14ac:dyDescent="0.25">
      <c r="A26" s="140" t="s">
        <v>365</v>
      </c>
      <c r="B26" s="140">
        <v>105000</v>
      </c>
      <c r="C26" s="41"/>
      <c r="D26" s="11"/>
      <c r="E26" s="424" t="s">
        <v>366</v>
      </c>
      <c r="F26" s="13" t="s">
        <v>367</v>
      </c>
      <c r="G26" s="17"/>
      <c r="H26" s="2"/>
      <c r="I26" s="2"/>
      <c r="J26" s="2"/>
      <c r="K26" s="2"/>
      <c r="L26" s="2"/>
      <c r="M26" s="2"/>
      <c r="N26" s="2"/>
      <c r="O26" s="20">
        <v>15</v>
      </c>
      <c r="P26" s="16">
        <v>14.95</v>
      </c>
      <c r="Q26" s="350" t="s">
        <v>9</v>
      </c>
      <c r="R26" s="384" t="s">
        <v>6</v>
      </c>
      <c r="S26" s="127"/>
      <c r="T26" s="204">
        <f t="shared" si="1"/>
        <v>47500</v>
      </c>
      <c r="U26" s="193">
        <v>14</v>
      </c>
      <c r="V26" s="205" t="s">
        <v>144</v>
      </c>
      <c r="W26" s="128"/>
      <c r="X26" s="127"/>
      <c r="Y26" s="127"/>
      <c r="Z26" s="127"/>
      <c r="AA26" s="127"/>
      <c r="AB26" s="127"/>
      <c r="AC26" s="210"/>
      <c r="AD26" s="127"/>
      <c r="AE26" s="210"/>
      <c r="AF26" s="127"/>
      <c r="AG26" s="127"/>
      <c r="AH26" s="129"/>
      <c r="AI26" s="127"/>
      <c r="AJ26" s="127"/>
      <c r="AK26" s="127"/>
      <c r="AL26" s="127"/>
      <c r="AM26" s="127"/>
      <c r="AN26" s="127"/>
      <c r="AO26" s="127"/>
      <c r="AP26" s="129"/>
      <c r="AQ26" s="129"/>
      <c r="AR26" s="127"/>
      <c r="AS26" s="127"/>
      <c r="AT26" s="129"/>
      <c r="AU26" s="129"/>
      <c r="AV26" s="127"/>
      <c r="AW26" s="127"/>
      <c r="AX26" s="127"/>
      <c r="AY26" s="129"/>
      <c r="AZ26" s="129"/>
      <c r="BA26" s="127"/>
      <c r="BB26" s="228"/>
      <c r="BC26" s="127"/>
      <c r="BD26" s="127"/>
      <c r="BE26" s="129"/>
      <c r="BF26" s="129"/>
      <c r="BG26" s="41"/>
      <c r="BH26" s="41"/>
      <c r="BI26" s="41"/>
      <c r="BJ26" s="41"/>
      <c r="BK26" s="41"/>
      <c r="BL26" s="41"/>
      <c r="BM26" s="41"/>
      <c r="BN26" s="41"/>
    </row>
    <row r="27" spans="1:66" s="9" customFormat="1" ht="21" x14ac:dyDescent="0.25">
      <c r="A27" s="140"/>
      <c r="B27" s="140"/>
      <c r="C27" s="41"/>
      <c r="D27" s="11"/>
      <c r="E27" s="12" t="s">
        <v>292</v>
      </c>
      <c r="F27" s="13" t="s">
        <v>236</v>
      </c>
      <c r="G27" s="17"/>
      <c r="H27" s="2" t="s">
        <v>6</v>
      </c>
      <c r="I27" s="2"/>
      <c r="J27" s="2"/>
      <c r="K27" s="2" t="s">
        <v>6</v>
      </c>
      <c r="L27" s="2" t="s">
        <v>6</v>
      </c>
      <c r="M27" s="2" t="s">
        <v>6</v>
      </c>
      <c r="N27" s="2" t="s">
        <v>6</v>
      </c>
      <c r="O27" s="15" t="s">
        <v>8</v>
      </c>
      <c r="P27" s="159">
        <v>9.9499999999999993</v>
      </c>
      <c r="Q27" s="352" t="s">
        <v>9</v>
      </c>
      <c r="R27" s="384" t="s">
        <v>6</v>
      </c>
      <c r="S27" s="425" t="s">
        <v>240</v>
      </c>
      <c r="T27" s="309">
        <f>T25+2500</f>
        <v>47500</v>
      </c>
      <c r="U27" s="310">
        <v>15</v>
      </c>
      <c r="V27" s="311" t="s">
        <v>148</v>
      </c>
      <c r="W27" s="378"/>
      <c r="X27" s="127"/>
      <c r="Y27" s="127"/>
      <c r="Z27" s="127"/>
      <c r="AA27" s="127"/>
      <c r="AB27" s="127"/>
      <c r="AC27" s="210"/>
      <c r="AD27" s="127"/>
      <c r="AE27" s="210"/>
      <c r="AF27" s="127"/>
      <c r="AG27" s="127"/>
      <c r="AH27" s="129"/>
      <c r="AI27" s="127"/>
      <c r="AJ27" s="127"/>
      <c r="AK27" s="127"/>
      <c r="AL27" s="127"/>
      <c r="AM27" s="127"/>
      <c r="AN27" s="127"/>
      <c r="AO27" s="127"/>
      <c r="AP27" s="129"/>
      <c r="AQ27" s="129"/>
      <c r="AR27" s="127"/>
      <c r="AS27" s="127"/>
      <c r="AT27" s="129"/>
      <c r="AU27" s="129"/>
      <c r="AV27" s="127"/>
      <c r="AW27" s="127"/>
      <c r="AX27" s="127"/>
      <c r="AY27" s="129"/>
      <c r="AZ27" s="129"/>
      <c r="BA27" s="127"/>
      <c r="BB27" s="228"/>
      <c r="BC27" s="127"/>
      <c r="BD27" s="127"/>
      <c r="BE27" s="129"/>
      <c r="BF27" s="129"/>
      <c r="BG27" s="41"/>
      <c r="BH27" s="41"/>
      <c r="BI27" s="41"/>
      <c r="BJ27" s="41"/>
      <c r="BK27" s="41"/>
      <c r="BL27" s="41"/>
      <c r="BM27" s="41"/>
      <c r="BN27" s="41"/>
    </row>
    <row r="28" spans="1:66" s="9" customFormat="1" ht="21" x14ac:dyDescent="0.25">
      <c r="A28" s="140" t="s">
        <v>368</v>
      </c>
      <c r="B28" s="140" t="s">
        <v>369</v>
      </c>
      <c r="C28" s="41"/>
      <c r="D28" s="303"/>
      <c r="E28" s="304" t="s">
        <v>383</v>
      </c>
      <c r="F28" s="305" t="s">
        <v>77</v>
      </c>
      <c r="G28" s="306"/>
      <c r="H28" s="2" t="s">
        <v>6</v>
      </c>
      <c r="I28" s="2"/>
      <c r="J28" s="2"/>
      <c r="K28" s="2" t="s">
        <v>6</v>
      </c>
      <c r="L28" s="2" t="s">
        <v>6</v>
      </c>
      <c r="M28" s="2" t="s">
        <v>6</v>
      </c>
      <c r="N28" s="2" t="s">
        <v>6</v>
      </c>
      <c r="O28" s="307" t="s">
        <v>8</v>
      </c>
      <c r="P28" s="28" t="s">
        <v>8</v>
      </c>
      <c r="Q28" s="353"/>
      <c r="R28" s="403" t="s">
        <v>6</v>
      </c>
      <c r="S28" s="308">
        <f>0.99*2</f>
        <v>1.98</v>
      </c>
      <c r="T28" s="309"/>
      <c r="U28" s="310"/>
      <c r="V28" s="311"/>
      <c r="W28" s="378"/>
      <c r="X28" s="127"/>
      <c r="Y28" s="127"/>
      <c r="Z28" s="127"/>
      <c r="AA28" s="127"/>
      <c r="AB28" s="127"/>
      <c r="AC28" s="210"/>
      <c r="AD28" s="127"/>
      <c r="AE28" s="210"/>
      <c r="AF28" s="127"/>
      <c r="AG28" s="127"/>
      <c r="AH28" s="129"/>
      <c r="AI28" s="127"/>
      <c r="AJ28" s="127"/>
      <c r="AK28" s="127"/>
      <c r="AL28" s="127"/>
      <c r="AM28" s="127"/>
      <c r="AN28" s="127"/>
      <c r="AO28" s="127"/>
      <c r="AP28" s="129"/>
      <c r="AQ28" s="129"/>
      <c r="AR28" s="127"/>
      <c r="AS28" s="127"/>
      <c r="AT28" s="129"/>
      <c r="AU28" s="129"/>
      <c r="AV28" s="127"/>
      <c r="AW28" s="127"/>
      <c r="AX28" s="127"/>
      <c r="AY28" s="129"/>
      <c r="AZ28" s="129"/>
      <c r="BA28" s="127"/>
      <c r="BB28" s="228"/>
      <c r="BC28" s="127"/>
      <c r="BD28" s="127"/>
      <c r="BE28" s="129"/>
      <c r="BF28" s="129"/>
      <c r="BG28" s="41"/>
      <c r="BH28" s="41"/>
      <c r="BI28" s="41"/>
      <c r="BJ28" s="41"/>
      <c r="BK28" s="41"/>
      <c r="BL28" s="41"/>
      <c r="BM28" s="41"/>
      <c r="BN28" s="41"/>
    </row>
    <row r="29" spans="1:66" s="27" customFormat="1" ht="21" x14ac:dyDescent="0.25">
      <c r="A29" s="302" t="s">
        <v>112</v>
      </c>
      <c r="B29" s="302">
        <v>12500</v>
      </c>
      <c r="C29" s="47"/>
      <c r="D29" s="303"/>
      <c r="E29" s="304" t="s">
        <v>241</v>
      </c>
      <c r="F29" s="305" t="s">
        <v>109</v>
      </c>
      <c r="G29" s="306"/>
      <c r="H29" s="2" t="s">
        <v>6</v>
      </c>
      <c r="I29" s="2"/>
      <c r="J29" s="2"/>
      <c r="K29" s="2" t="s">
        <v>6</v>
      </c>
      <c r="L29" s="2" t="s">
        <v>6</v>
      </c>
      <c r="M29" s="2" t="s">
        <v>6</v>
      </c>
      <c r="N29" s="2" t="s">
        <v>6</v>
      </c>
      <c r="O29" s="307" t="s">
        <v>8</v>
      </c>
      <c r="P29" s="28" t="s">
        <v>8</v>
      </c>
      <c r="Q29" s="353"/>
      <c r="R29" s="403" t="s">
        <v>6</v>
      </c>
      <c r="S29" s="308">
        <v>0.99</v>
      </c>
      <c r="T29" s="309">
        <f>T27+2500</f>
        <v>50000</v>
      </c>
      <c r="U29" s="310">
        <v>16</v>
      </c>
      <c r="V29" s="311" t="s">
        <v>233</v>
      </c>
      <c r="W29" s="379"/>
      <c r="X29" s="129"/>
      <c r="Y29" s="129"/>
      <c r="Z29" s="129"/>
      <c r="AA29" s="129"/>
      <c r="AB29" s="129"/>
      <c r="AC29" s="213"/>
      <c r="AD29" s="129"/>
      <c r="AE29" s="213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231"/>
      <c r="BC29" s="129"/>
      <c r="BD29" s="129"/>
      <c r="BE29" s="129"/>
      <c r="BF29" s="129"/>
      <c r="BG29" s="47"/>
      <c r="BH29" s="47"/>
      <c r="BI29" s="47"/>
      <c r="BJ29" s="47"/>
      <c r="BK29" s="47"/>
      <c r="BL29" s="47"/>
      <c r="BM29" s="47"/>
      <c r="BN29" s="47"/>
    </row>
    <row r="30" spans="1:66" s="317" customFormat="1" ht="21" x14ac:dyDescent="0.25">
      <c r="A30" s="302" t="s">
        <v>120</v>
      </c>
      <c r="B30" s="302">
        <v>32500</v>
      </c>
      <c r="C30" s="312"/>
      <c r="D30" s="303"/>
      <c r="E30" s="304" t="s">
        <v>242</v>
      </c>
      <c r="F30" s="305" t="s">
        <v>109</v>
      </c>
      <c r="G30" s="306"/>
      <c r="H30" s="2" t="s">
        <v>6</v>
      </c>
      <c r="I30" s="2"/>
      <c r="J30" s="2"/>
      <c r="K30" s="2" t="s">
        <v>6</v>
      </c>
      <c r="L30" s="2" t="s">
        <v>6</v>
      </c>
      <c r="M30" s="2" t="s">
        <v>6</v>
      </c>
      <c r="N30" s="2" t="s">
        <v>6</v>
      </c>
      <c r="O30" s="307" t="s">
        <v>8</v>
      </c>
      <c r="P30" s="28" t="s">
        <v>8</v>
      </c>
      <c r="Q30" s="353"/>
      <c r="R30" s="403" t="s">
        <v>6</v>
      </c>
      <c r="S30" s="308">
        <v>0.99</v>
      </c>
      <c r="T30" s="309">
        <f t="shared" ref="T30:T32" si="2">T29+2500</f>
        <v>52500</v>
      </c>
      <c r="U30" s="310">
        <v>17</v>
      </c>
      <c r="V30" s="311" t="s">
        <v>267</v>
      </c>
      <c r="W30" s="201"/>
      <c r="X30" s="201"/>
      <c r="Y30" s="201"/>
      <c r="Z30" s="201"/>
      <c r="AA30" s="201"/>
      <c r="AB30" s="201"/>
      <c r="AC30" s="315"/>
      <c r="AD30" s="201"/>
      <c r="AE30" s="315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316"/>
      <c r="BC30" s="201"/>
      <c r="BD30" s="201"/>
      <c r="BE30" s="201"/>
      <c r="BF30" s="201"/>
      <c r="BG30" s="312"/>
      <c r="BH30" s="312"/>
      <c r="BI30" s="312"/>
      <c r="BJ30" s="312"/>
      <c r="BK30" s="312"/>
      <c r="BL30" s="312"/>
      <c r="BM30" s="312"/>
      <c r="BN30" s="312"/>
    </row>
    <row r="31" spans="1:66" s="317" customFormat="1" ht="21" x14ac:dyDescent="0.25">
      <c r="A31" s="302" t="s">
        <v>146</v>
      </c>
      <c r="B31" s="302">
        <v>42500</v>
      </c>
      <c r="C31" s="312"/>
      <c r="D31" s="303"/>
      <c r="E31" s="304" t="s">
        <v>243</v>
      </c>
      <c r="F31" s="305" t="s">
        <v>109</v>
      </c>
      <c r="G31" s="306"/>
      <c r="H31" s="2" t="s">
        <v>6</v>
      </c>
      <c r="I31" s="2"/>
      <c r="J31" s="2"/>
      <c r="K31" s="2" t="s">
        <v>6</v>
      </c>
      <c r="L31" s="2" t="s">
        <v>6</v>
      </c>
      <c r="M31" s="2" t="s">
        <v>6</v>
      </c>
      <c r="N31" s="2" t="s">
        <v>6</v>
      </c>
      <c r="O31" s="307" t="s">
        <v>8</v>
      </c>
      <c r="P31" s="28" t="s">
        <v>8</v>
      </c>
      <c r="Q31" s="353"/>
      <c r="R31" s="403" t="s">
        <v>6</v>
      </c>
      <c r="S31" s="308">
        <v>0.99</v>
      </c>
      <c r="T31" s="309">
        <f t="shared" si="2"/>
        <v>55000</v>
      </c>
      <c r="U31" s="310">
        <v>18</v>
      </c>
      <c r="V31" s="311" t="s">
        <v>268</v>
      </c>
      <c r="W31" s="201"/>
      <c r="X31" s="201"/>
      <c r="Y31" s="201"/>
      <c r="Z31" s="201"/>
      <c r="AA31" s="201"/>
      <c r="AB31" s="201"/>
      <c r="AC31" s="315"/>
      <c r="AD31" s="201"/>
      <c r="AE31" s="315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316"/>
      <c r="BC31" s="201"/>
      <c r="BD31" s="201"/>
      <c r="BE31" s="201"/>
      <c r="BF31" s="201"/>
      <c r="BG31" s="312"/>
      <c r="BH31" s="312"/>
      <c r="BI31" s="312"/>
      <c r="BJ31" s="312"/>
      <c r="BK31" s="312"/>
      <c r="BL31" s="312"/>
      <c r="BM31" s="312"/>
      <c r="BN31" s="312"/>
    </row>
    <row r="32" spans="1:66" s="317" customFormat="1" ht="21" x14ac:dyDescent="0.25">
      <c r="A32" s="302" t="s">
        <v>263</v>
      </c>
      <c r="B32" s="302">
        <v>52500</v>
      </c>
      <c r="C32" s="312"/>
      <c r="D32" s="303"/>
      <c r="E32" s="304" t="s">
        <v>282</v>
      </c>
      <c r="F32" s="305" t="s">
        <v>109</v>
      </c>
      <c r="G32" s="380"/>
      <c r="H32" s="2" t="s">
        <v>6</v>
      </c>
      <c r="I32" s="2"/>
      <c r="J32" s="2"/>
      <c r="K32" s="2" t="s">
        <v>6</v>
      </c>
      <c r="L32" s="2" t="s">
        <v>6</v>
      </c>
      <c r="M32" s="2" t="s">
        <v>6</v>
      </c>
      <c r="N32" s="2" t="s">
        <v>6</v>
      </c>
      <c r="O32" s="307" t="s">
        <v>8</v>
      </c>
      <c r="P32" s="28" t="s">
        <v>8</v>
      </c>
      <c r="Q32" s="353"/>
      <c r="R32" s="403" t="s">
        <v>6</v>
      </c>
      <c r="S32" s="308">
        <v>0.99</v>
      </c>
      <c r="T32" s="309">
        <f t="shared" si="2"/>
        <v>57500</v>
      </c>
      <c r="U32" s="310">
        <v>19</v>
      </c>
      <c r="V32" s="311" t="s">
        <v>273</v>
      </c>
      <c r="W32" s="201"/>
      <c r="X32" s="201"/>
      <c r="Y32" s="201"/>
      <c r="Z32" s="201"/>
      <c r="AA32" s="201"/>
      <c r="AB32" s="201"/>
      <c r="AC32" s="315"/>
      <c r="AD32" s="201"/>
      <c r="AE32" s="315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316"/>
      <c r="BC32" s="201"/>
      <c r="BD32" s="201"/>
      <c r="BE32" s="201"/>
      <c r="BF32" s="201"/>
      <c r="BG32" s="312"/>
      <c r="BH32" s="312"/>
      <c r="BI32" s="312"/>
      <c r="BJ32" s="312"/>
      <c r="BK32" s="312"/>
      <c r="BL32" s="312"/>
      <c r="BM32" s="312"/>
      <c r="BN32" s="312"/>
    </row>
    <row r="33" spans="1:66" s="317" customFormat="1" ht="21" x14ac:dyDescent="0.25">
      <c r="A33" s="302" t="s">
        <v>301</v>
      </c>
      <c r="B33" s="302">
        <v>72500</v>
      </c>
      <c r="C33" s="312"/>
      <c r="D33" s="303"/>
      <c r="E33" s="304" t="s">
        <v>307</v>
      </c>
      <c r="F33" s="305" t="s">
        <v>109</v>
      </c>
      <c r="G33" s="380"/>
      <c r="H33" s="2" t="s">
        <v>6</v>
      </c>
      <c r="I33" s="2"/>
      <c r="J33" s="2"/>
      <c r="K33" s="2" t="s">
        <v>6</v>
      </c>
      <c r="L33" s="2" t="s">
        <v>6</v>
      </c>
      <c r="M33" s="2" t="s">
        <v>6</v>
      </c>
      <c r="N33" s="2" t="s">
        <v>6</v>
      </c>
      <c r="O33" s="307" t="s">
        <v>8</v>
      </c>
      <c r="P33" s="28" t="s">
        <v>8</v>
      </c>
      <c r="Q33" s="353"/>
      <c r="R33" s="403" t="s">
        <v>6</v>
      </c>
      <c r="S33" s="308">
        <v>0.99</v>
      </c>
      <c r="T33" s="309">
        <f t="shared" ref="T33:T41" si="3">T32+2500</f>
        <v>60000</v>
      </c>
      <c r="U33" s="310">
        <v>20</v>
      </c>
      <c r="V33" s="311" t="s">
        <v>274</v>
      </c>
      <c r="W33" s="416"/>
      <c r="X33" s="201"/>
      <c r="Y33" s="201"/>
      <c r="Z33" s="201"/>
      <c r="AA33" s="201"/>
      <c r="AB33" s="201"/>
      <c r="AC33" s="315"/>
      <c r="AD33" s="201"/>
      <c r="AE33" s="315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316"/>
      <c r="BC33" s="201"/>
      <c r="BD33" s="201"/>
      <c r="BE33" s="201"/>
      <c r="BF33" s="201"/>
      <c r="BG33" s="312"/>
      <c r="BH33" s="312"/>
      <c r="BI33" s="312"/>
      <c r="BJ33" s="312"/>
      <c r="BK33" s="312"/>
      <c r="BL33" s="312"/>
      <c r="BM33" s="312"/>
      <c r="BN33" s="312"/>
    </row>
    <row r="34" spans="1:66" s="320" customFormat="1" ht="21" x14ac:dyDescent="0.25">
      <c r="A34" s="302" t="s">
        <v>113</v>
      </c>
      <c r="B34" s="302">
        <v>15000</v>
      </c>
      <c r="C34" s="318"/>
      <c r="D34" s="303"/>
      <c r="E34" s="304" t="s">
        <v>244</v>
      </c>
      <c r="F34" s="305" t="s">
        <v>110</v>
      </c>
      <c r="G34" s="306"/>
      <c r="H34" s="2" t="s">
        <v>6</v>
      </c>
      <c r="I34" s="2"/>
      <c r="J34" s="2"/>
      <c r="K34" s="2" t="s">
        <v>6</v>
      </c>
      <c r="L34" s="2" t="s">
        <v>6</v>
      </c>
      <c r="M34" s="2" t="s">
        <v>6</v>
      </c>
      <c r="N34" s="2" t="s">
        <v>6</v>
      </c>
      <c r="O34" s="307" t="s">
        <v>8</v>
      </c>
      <c r="P34" s="28" t="s">
        <v>8</v>
      </c>
      <c r="Q34" s="353"/>
      <c r="R34" s="403" t="s">
        <v>6</v>
      </c>
      <c r="S34" s="308">
        <v>0.99</v>
      </c>
      <c r="T34" s="309">
        <f t="shared" si="3"/>
        <v>62500</v>
      </c>
      <c r="U34" s="310">
        <v>21</v>
      </c>
      <c r="V34" s="311" t="s">
        <v>284</v>
      </c>
      <c r="W34" s="377"/>
      <c r="X34" s="214"/>
      <c r="Y34" s="214"/>
      <c r="Z34" s="214"/>
      <c r="AA34" s="214"/>
      <c r="AB34" s="214"/>
      <c r="AC34" s="202"/>
      <c r="AD34" s="214"/>
      <c r="AE34" s="202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319"/>
      <c r="BC34" s="214"/>
      <c r="BD34" s="214"/>
      <c r="BE34" s="214"/>
      <c r="BF34" s="214"/>
      <c r="BG34" s="318"/>
      <c r="BH34" s="318"/>
      <c r="BI34" s="318"/>
      <c r="BJ34" s="318"/>
      <c r="BK34" s="318"/>
      <c r="BL34" s="318"/>
      <c r="BM34" s="318"/>
      <c r="BN34" s="318"/>
    </row>
    <row r="35" spans="1:66" s="320" customFormat="1" ht="21" x14ac:dyDescent="0.25">
      <c r="A35" s="302" t="s">
        <v>114</v>
      </c>
      <c r="B35" s="302">
        <v>22500</v>
      </c>
      <c r="C35" s="318"/>
      <c r="D35" s="303"/>
      <c r="E35" s="304" t="s">
        <v>245</v>
      </c>
      <c r="F35" s="305" t="s">
        <v>382</v>
      </c>
      <c r="G35" s="306"/>
      <c r="H35" s="2" t="s">
        <v>6</v>
      </c>
      <c r="I35" s="2"/>
      <c r="J35" s="2"/>
      <c r="K35" s="2" t="s">
        <v>6</v>
      </c>
      <c r="L35" s="2" t="s">
        <v>6</v>
      </c>
      <c r="M35" s="2" t="s">
        <v>6</v>
      </c>
      <c r="N35" s="2" t="s">
        <v>6</v>
      </c>
      <c r="O35" s="307" t="s">
        <v>8</v>
      </c>
      <c r="P35" s="28" t="s">
        <v>8</v>
      </c>
      <c r="Q35" s="353"/>
      <c r="R35" s="403" t="s">
        <v>6</v>
      </c>
      <c r="S35" s="308">
        <v>0.99</v>
      </c>
      <c r="T35" s="309">
        <f t="shared" si="3"/>
        <v>65000</v>
      </c>
      <c r="U35" s="310">
        <v>22</v>
      </c>
      <c r="V35" s="311" t="s">
        <v>285</v>
      </c>
      <c r="W35" s="309"/>
      <c r="X35" s="214"/>
      <c r="Y35" s="214"/>
      <c r="Z35" s="214"/>
      <c r="AA35" s="214"/>
      <c r="AB35" s="214"/>
      <c r="AC35" s="202"/>
      <c r="AD35" s="214"/>
      <c r="AE35" s="202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319"/>
      <c r="BC35" s="214"/>
      <c r="BD35" s="214"/>
      <c r="BE35" s="214"/>
      <c r="BF35" s="214"/>
      <c r="BG35" s="318"/>
      <c r="BH35" s="318"/>
      <c r="BI35" s="318"/>
      <c r="BJ35" s="318"/>
      <c r="BK35" s="318"/>
      <c r="BL35" s="318"/>
      <c r="BM35" s="318"/>
      <c r="BN35" s="318"/>
    </row>
    <row r="36" spans="1:66" s="320" customFormat="1" ht="21" x14ac:dyDescent="0.25">
      <c r="A36" s="302" t="s">
        <v>357</v>
      </c>
      <c r="B36" s="302">
        <v>102500</v>
      </c>
      <c r="C36" s="318"/>
      <c r="D36" s="303"/>
      <c r="E36" s="304" t="s">
        <v>364</v>
      </c>
      <c r="F36" s="305" t="s">
        <v>382</v>
      </c>
      <c r="G36" s="306"/>
      <c r="H36" s="2" t="s">
        <v>6</v>
      </c>
      <c r="I36" s="2"/>
      <c r="J36" s="2"/>
      <c r="K36" s="2" t="s">
        <v>6</v>
      </c>
      <c r="L36" s="2" t="s">
        <v>6</v>
      </c>
      <c r="M36" s="2" t="s">
        <v>6</v>
      </c>
      <c r="N36" s="2" t="s">
        <v>6</v>
      </c>
      <c r="O36" s="307" t="s">
        <v>8</v>
      </c>
      <c r="P36" s="28" t="s">
        <v>8</v>
      </c>
      <c r="Q36" s="353"/>
      <c r="R36" s="403" t="s">
        <v>6</v>
      </c>
      <c r="S36" s="308">
        <v>0.99</v>
      </c>
      <c r="T36" s="309">
        <f t="shared" si="3"/>
        <v>67500</v>
      </c>
      <c r="U36" s="310">
        <v>22</v>
      </c>
      <c r="V36" s="311" t="s">
        <v>285</v>
      </c>
      <c r="W36" s="309"/>
      <c r="X36" s="214"/>
      <c r="Y36" s="214"/>
      <c r="Z36" s="214"/>
      <c r="AA36" s="214"/>
      <c r="AB36" s="214"/>
      <c r="AC36" s="202"/>
      <c r="AD36" s="214"/>
      <c r="AE36" s="202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319"/>
      <c r="BC36" s="214"/>
      <c r="BD36" s="214"/>
      <c r="BE36" s="214"/>
      <c r="BF36" s="214"/>
      <c r="BG36" s="318"/>
      <c r="BH36" s="318"/>
      <c r="BI36" s="318"/>
      <c r="BJ36" s="318"/>
      <c r="BK36" s="318"/>
      <c r="BL36" s="318"/>
      <c r="BM36" s="318"/>
      <c r="BN36" s="318"/>
    </row>
    <row r="37" spans="1:66" s="320" customFormat="1" ht="21" x14ac:dyDescent="0.25">
      <c r="A37" s="302">
        <v>43</v>
      </c>
      <c r="B37" s="302">
        <v>117500</v>
      </c>
      <c r="C37" s="318"/>
      <c r="D37" s="303"/>
      <c r="E37" s="304" t="s">
        <v>381</v>
      </c>
      <c r="F37" s="305" t="s">
        <v>382</v>
      </c>
      <c r="G37" s="306"/>
      <c r="H37" s="2" t="s">
        <v>6</v>
      </c>
      <c r="I37" s="2"/>
      <c r="J37" s="2"/>
      <c r="K37" s="2" t="s">
        <v>6</v>
      </c>
      <c r="L37" s="2" t="s">
        <v>6</v>
      </c>
      <c r="M37" s="2" t="s">
        <v>6</v>
      </c>
      <c r="N37" s="2" t="s">
        <v>6</v>
      </c>
      <c r="O37" s="307" t="s">
        <v>8</v>
      </c>
      <c r="P37" s="28" t="s">
        <v>8</v>
      </c>
      <c r="Q37" s="353"/>
      <c r="R37" s="403" t="s">
        <v>6</v>
      </c>
      <c r="S37" s="308">
        <v>0.99</v>
      </c>
      <c r="T37" s="309">
        <f t="shared" si="3"/>
        <v>70000</v>
      </c>
      <c r="U37" s="310">
        <v>22</v>
      </c>
      <c r="V37" s="311" t="s">
        <v>285</v>
      </c>
      <c r="W37" s="309"/>
      <c r="X37" s="214"/>
      <c r="Y37" s="214"/>
      <c r="Z37" s="214"/>
      <c r="AA37" s="214"/>
      <c r="AB37" s="214"/>
      <c r="AC37" s="202"/>
      <c r="AD37" s="214"/>
      <c r="AE37" s="202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319"/>
      <c r="BC37" s="214"/>
      <c r="BD37" s="214"/>
      <c r="BE37" s="214"/>
      <c r="BF37" s="214"/>
      <c r="BG37" s="318"/>
      <c r="BH37" s="318"/>
      <c r="BI37" s="318"/>
      <c r="BJ37" s="318"/>
      <c r="BK37" s="318"/>
      <c r="BL37" s="318"/>
      <c r="BM37" s="318"/>
      <c r="BN37" s="318"/>
    </row>
    <row r="38" spans="1:66" s="9" customFormat="1" ht="21" collapsed="1" x14ac:dyDescent="0.25">
      <c r="A38" s="140" t="s">
        <v>112</v>
      </c>
      <c r="B38" s="140">
        <v>12500</v>
      </c>
      <c r="C38" s="41"/>
      <c r="D38" s="11"/>
      <c r="E38" s="12" t="s">
        <v>291</v>
      </c>
      <c r="F38" s="13" t="s">
        <v>236</v>
      </c>
      <c r="G38" s="17"/>
      <c r="H38" s="2"/>
      <c r="I38" s="2"/>
      <c r="J38" s="2"/>
      <c r="K38" s="2" t="s">
        <v>6</v>
      </c>
      <c r="L38" s="2" t="s">
        <v>6</v>
      </c>
      <c r="M38" s="2" t="s">
        <v>6</v>
      </c>
      <c r="N38" s="2" t="s">
        <v>6</v>
      </c>
      <c r="O38" s="15" t="s">
        <v>8</v>
      </c>
      <c r="P38" s="159">
        <v>14.95</v>
      </c>
      <c r="Q38" s="352" t="s">
        <v>9</v>
      </c>
      <c r="R38" s="384" t="s">
        <v>6</v>
      </c>
      <c r="S38" s="425" t="s">
        <v>239</v>
      </c>
      <c r="T38" s="309">
        <f>T35+2500</f>
        <v>67500</v>
      </c>
      <c r="U38" s="310">
        <v>23</v>
      </c>
      <c r="V38" s="311" t="s">
        <v>287</v>
      </c>
      <c r="W38" s="309"/>
      <c r="X38" s="127"/>
      <c r="Y38" s="127"/>
      <c r="Z38" s="127"/>
      <c r="AA38" s="127"/>
      <c r="AB38" s="127"/>
      <c r="AC38" s="210"/>
      <c r="AD38" s="127"/>
      <c r="AE38" s="210"/>
      <c r="AF38" s="127"/>
      <c r="AG38" s="127"/>
      <c r="AH38" s="129"/>
      <c r="AI38" s="127"/>
      <c r="AJ38" s="127"/>
      <c r="AK38" s="127"/>
      <c r="AL38" s="127"/>
      <c r="AM38" s="127"/>
      <c r="AN38" s="127"/>
      <c r="AO38" s="127"/>
      <c r="AP38" s="129"/>
      <c r="AQ38" s="129"/>
      <c r="AR38" s="127"/>
      <c r="AS38" s="127"/>
      <c r="AT38" s="129"/>
      <c r="AU38" s="129"/>
      <c r="AV38" s="127"/>
      <c r="AW38" s="127"/>
      <c r="AX38" s="127"/>
      <c r="AY38" s="129"/>
      <c r="AZ38" s="129"/>
      <c r="BA38" s="127"/>
      <c r="BB38" s="228"/>
      <c r="BC38" s="127"/>
      <c r="BD38" s="127"/>
      <c r="BE38" s="129"/>
      <c r="BF38" s="129"/>
      <c r="BG38" s="41"/>
      <c r="BH38" s="41"/>
      <c r="BI38" s="41"/>
      <c r="BJ38" s="41"/>
      <c r="BK38" s="41"/>
      <c r="BL38" s="41"/>
      <c r="BM38" s="41"/>
      <c r="BN38" s="41"/>
    </row>
    <row r="39" spans="1:66" s="317" customFormat="1" ht="21" x14ac:dyDescent="0.25">
      <c r="A39" s="302" t="s">
        <v>304</v>
      </c>
      <c r="B39" s="302" t="s">
        <v>305</v>
      </c>
      <c r="C39" s="312"/>
      <c r="D39" s="303"/>
      <c r="E39" s="304" t="s">
        <v>311</v>
      </c>
      <c r="F39" s="305" t="s">
        <v>77</v>
      </c>
      <c r="G39" s="306"/>
      <c r="H39" s="2"/>
      <c r="I39" s="2"/>
      <c r="J39" s="2"/>
      <c r="K39" s="2" t="s">
        <v>6</v>
      </c>
      <c r="L39" s="2" t="s">
        <v>6</v>
      </c>
      <c r="M39" s="2" t="s">
        <v>6</v>
      </c>
      <c r="N39" s="2" t="s">
        <v>6</v>
      </c>
      <c r="O39" s="307" t="s">
        <v>8</v>
      </c>
      <c r="P39" s="28" t="s">
        <v>8</v>
      </c>
      <c r="Q39" s="353"/>
      <c r="R39" s="403" t="s">
        <v>6</v>
      </c>
      <c r="S39" s="308">
        <f>0.99*4</f>
        <v>3.96</v>
      </c>
      <c r="T39" s="309">
        <f t="shared" si="3"/>
        <v>70000</v>
      </c>
      <c r="U39" s="310">
        <v>24</v>
      </c>
      <c r="V39" s="311" t="s">
        <v>294</v>
      </c>
      <c r="W39" s="201"/>
      <c r="X39" s="201"/>
      <c r="Y39" s="201"/>
      <c r="Z39" s="201"/>
      <c r="AA39" s="201"/>
      <c r="AB39" s="201"/>
      <c r="AC39" s="315"/>
      <c r="AD39" s="201"/>
      <c r="AE39" s="315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316"/>
      <c r="BC39" s="201"/>
      <c r="BD39" s="201"/>
      <c r="BE39" s="201"/>
      <c r="BF39" s="201"/>
      <c r="BG39" s="312"/>
      <c r="BH39" s="312"/>
      <c r="BI39" s="312"/>
      <c r="BJ39" s="312"/>
      <c r="BK39" s="312"/>
      <c r="BL39" s="312"/>
      <c r="BM39" s="312"/>
      <c r="BN39" s="312"/>
    </row>
    <row r="40" spans="1:66" s="317" customFormat="1" ht="21" x14ac:dyDescent="0.25">
      <c r="A40" s="302" t="s">
        <v>345</v>
      </c>
      <c r="B40" s="302" t="s">
        <v>341</v>
      </c>
      <c r="C40" s="312"/>
      <c r="D40" s="303"/>
      <c r="E40" s="304" t="s">
        <v>349</v>
      </c>
      <c r="F40" s="305" t="s">
        <v>77</v>
      </c>
      <c r="G40" s="306"/>
      <c r="H40" s="2"/>
      <c r="I40" s="2"/>
      <c r="J40" s="2"/>
      <c r="K40" s="2" t="s">
        <v>6</v>
      </c>
      <c r="L40" s="2" t="s">
        <v>6</v>
      </c>
      <c r="M40" s="2" t="s">
        <v>6</v>
      </c>
      <c r="N40" s="2" t="s">
        <v>6</v>
      </c>
      <c r="O40" s="307" t="s">
        <v>8</v>
      </c>
      <c r="P40" s="28" t="s">
        <v>8</v>
      </c>
      <c r="Q40" s="353"/>
      <c r="R40" s="403" t="s">
        <v>6</v>
      </c>
      <c r="S40" s="308">
        <f>0.99*2</f>
        <v>1.98</v>
      </c>
      <c r="T40" s="309">
        <f t="shared" si="3"/>
        <v>72500</v>
      </c>
      <c r="U40" s="310">
        <v>25</v>
      </c>
      <c r="V40" s="311" t="s">
        <v>302</v>
      </c>
      <c r="W40" s="188"/>
      <c r="X40" s="201"/>
      <c r="Y40" s="201"/>
      <c r="Z40" s="201"/>
      <c r="AA40" s="201"/>
      <c r="AB40" s="201"/>
      <c r="AC40" s="315"/>
      <c r="AD40" s="201"/>
      <c r="AE40" s="315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316"/>
      <c r="BC40" s="201"/>
      <c r="BD40" s="201"/>
      <c r="BE40" s="201"/>
      <c r="BF40" s="201"/>
      <c r="BG40" s="312"/>
      <c r="BH40" s="312"/>
      <c r="BI40" s="312"/>
      <c r="BJ40" s="312"/>
      <c r="BK40" s="312"/>
      <c r="BL40" s="312"/>
      <c r="BM40" s="312"/>
      <c r="BN40" s="312"/>
    </row>
    <row r="41" spans="1:66" s="317" customFormat="1" ht="21" x14ac:dyDescent="0.25">
      <c r="A41" s="302" t="s">
        <v>346</v>
      </c>
      <c r="B41" s="302" t="s">
        <v>342</v>
      </c>
      <c r="C41" s="312"/>
      <c r="D41" s="303"/>
      <c r="E41" s="304" t="s">
        <v>350</v>
      </c>
      <c r="F41" s="305" t="s">
        <v>77</v>
      </c>
      <c r="G41" s="306"/>
      <c r="H41" s="2"/>
      <c r="I41" s="2"/>
      <c r="J41" s="2"/>
      <c r="K41" s="2" t="s">
        <v>6</v>
      </c>
      <c r="L41" s="2" t="s">
        <v>6</v>
      </c>
      <c r="M41" s="2" t="s">
        <v>6</v>
      </c>
      <c r="N41" s="2" t="s">
        <v>6</v>
      </c>
      <c r="O41" s="307" t="s">
        <v>8</v>
      </c>
      <c r="P41" s="28" t="s">
        <v>8</v>
      </c>
      <c r="Q41" s="353"/>
      <c r="R41" s="403" t="s">
        <v>6</v>
      </c>
      <c r="S41" s="308">
        <f t="shared" ref="S41:S43" si="4">0.99*2</f>
        <v>1.98</v>
      </c>
      <c r="T41" s="309">
        <f t="shared" si="3"/>
        <v>75000</v>
      </c>
      <c r="U41" s="310">
        <v>26</v>
      </c>
      <c r="V41" s="311" t="s">
        <v>303</v>
      </c>
      <c r="W41" s="188"/>
      <c r="X41" s="201"/>
      <c r="Y41" s="201"/>
      <c r="Z41" s="201"/>
      <c r="AA41" s="201"/>
      <c r="AB41" s="201"/>
      <c r="AC41" s="315"/>
      <c r="AD41" s="201"/>
      <c r="AE41" s="315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316"/>
      <c r="BC41" s="201"/>
      <c r="BD41" s="201"/>
      <c r="BE41" s="201"/>
      <c r="BF41" s="201"/>
      <c r="BG41" s="312"/>
      <c r="BH41" s="312"/>
      <c r="BI41" s="312"/>
      <c r="BJ41" s="312"/>
      <c r="BK41" s="312"/>
      <c r="BL41" s="312"/>
      <c r="BM41" s="312"/>
      <c r="BN41" s="312"/>
    </row>
    <row r="42" spans="1:66" s="317" customFormat="1" ht="21" x14ac:dyDescent="0.25">
      <c r="A42" s="302" t="s">
        <v>347</v>
      </c>
      <c r="B42" s="302" t="s">
        <v>343</v>
      </c>
      <c r="C42" s="312"/>
      <c r="D42" s="303"/>
      <c r="E42" s="304" t="s">
        <v>351</v>
      </c>
      <c r="F42" s="305" t="s">
        <v>77</v>
      </c>
      <c r="G42" s="306"/>
      <c r="H42" s="2"/>
      <c r="I42" s="2"/>
      <c r="J42" s="2"/>
      <c r="K42" s="2" t="s">
        <v>6</v>
      </c>
      <c r="L42" s="2" t="s">
        <v>6</v>
      </c>
      <c r="M42" s="2" t="s">
        <v>6</v>
      </c>
      <c r="N42" s="2" t="s">
        <v>6</v>
      </c>
      <c r="O42" s="307" t="s">
        <v>8</v>
      </c>
      <c r="P42" s="28" t="s">
        <v>8</v>
      </c>
      <c r="Q42" s="353"/>
      <c r="R42" s="403" t="s">
        <v>6</v>
      </c>
      <c r="S42" s="308">
        <f t="shared" si="4"/>
        <v>1.98</v>
      </c>
      <c r="T42" s="309">
        <f t="shared" ref="T42:T67" si="5">T41+2500</f>
        <v>77500</v>
      </c>
      <c r="U42" s="310">
        <v>27</v>
      </c>
      <c r="V42" s="311" t="s">
        <v>308</v>
      </c>
      <c r="W42" s="310"/>
      <c r="X42" s="128"/>
      <c r="Y42" s="201"/>
      <c r="Z42" s="201"/>
      <c r="AA42" s="201"/>
      <c r="AB42" s="201"/>
      <c r="AC42" s="315"/>
      <c r="AD42" s="201"/>
      <c r="AE42" s="315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316"/>
      <c r="BC42" s="201"/>
      <c r="BD42" s="201"/>
      <c r="BE42" s="201"/>
      <c r="BF42" s="201"/>
      <c r="BG42" s="312"/>
      <c r="BH42" s="312"/>
      <c r="BI42" s="312"/>
      <c r="BJ42" s="312"/>
      <c r="BK42" s="312"/>
      <c r="BL42" s="312"/>
      <c r="BM42" s="312"/>
      <c r="BN42" s="312"/>
    </row>
    <row r="43" spans="1:66" s="317" customFormat="1" ht="21" x14ac:dyDescent="0.25">
      <c r="A43" s="302" t="s">
        <v>348</v>
      </c>
      <c r="B43" s="302" t="s">
        <v>344</v>
      </c>
      <c r="C43" s="312"/>
      <c r="D43" s="303"/>
      <c r="E43" s="304" t="s">
        <v>352</v>
      </c>
      <c r="F43" s="305" t="s">
        <v>77</v>
      </c>
      <c r="G43" s="306"/>
      <c r="H43" s="2"/>
      <c r="I43" s="2"/>
      <c r="J43" s="2"/>
      <c r="K43" s="2" t="s">
        <v>6</v>
      </c>
      <c r="L43" s="2" t="s">
        <v>6</v>
      </c>
      <c r="M43" s="2" t="s">
        <v>6</v>
      </c>
      <c r="N43" s="2" t="s">
        <v>6</v>
      </c>
      <c r="O43" s="307" t="s">
        <v>8</v>
      </c>
      <c r="P43" s="28" t="s">
        <v>8</v>
      </c>
      <c r="Q43" s="353"/>
      <c r="R43" s="403" t="s">
        <v>6</v>
      </c>
      <c r="S43" s="308">
        <f t="shared" si="4"/>
        <v>1.98</v>
      </c>
      <c r="T43" s="309">
        <f t="shared" si="5"/>
        <v>80000</v>
      </c>
      <c r="U43" s="310">
        <v>28</v>
      </c>
      <c r="V43" s="311" t="s">
        <v>310</v>
      </c>
      <c r="W43" s="310"/>
      <c r="X43" s="128"/>
      <c r="Y43" s="201"/>
      <c r="Z43" s="201"/>
      <c r="AA43" s="201"/>
      <c r="AB43" s="201"/>
      <c r="AC43" s="315"/>
      <c r="AD43" s="201"/>
      <c r="AE43" s="315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316"/>
      <c r="BC43" s="201"/>
      <c r="BD43" s="201"/>
      <c r="BE43" s="201"/>
      <c r="BF43" s="201"/>
      <c r="BG43" s="312"/>
      <c r="BH43" s="312"/>
      <c r="BI43" s="312"/>
      <c r="BJ43" s="312"/>
      <c r="BK43" s="312"/>
      <c r="BL43" s="312"/>
      <c r="BM43" s="312"/>
      <c r="BN43" s="312"/>
    </row>
    <row r="44" spans="1:66" s="10" customFormat="1" ht="21" x14ac:dyDescent="0.25">
      <c r="A44" s="302" t="s">
        <v>286</v>
      </c>
      <c r="B44" s="302">
        <v>62500</v>
      </c>
      <c r="C44" s="46"/>
      <c r="D44" s="21"/>
      <c r="E44" s="418" t="s">
        <v>289</v>
      </c>
      <c r="F44" s="305" t="s">
        <v>77</v>
      </c>
      <c r="G44" s="17"/>
      <c r="H44" s="2"/>
      <c r="I44" s="2"/>
      <c r="J44" s="2"/>
      <c r="K44" s="2" t="s">
        <v>6</v>
      </c>
      <c r="L44" s="2" t="s">
        <v>6</v>
      </c>
      <c r="M44" s="2" t="s">
        <v>6</v>
      </c>
      <c r="N44" s="2" t="s">
        <v>6</v>
      </c>
      <c r="O44" s="15" t="s">
        <v>8</v>
      </c>
      <c r="P44" s="28" t="s">
        <v>8</v>
      </c>
      <c r="Q44" s="353"/>
      <c r="R44" s="403" t="s">
        <v>6</v>
      </c>
      <c r="S44" s="308">
        <f>0.99</f>
        <v>0.99</v>
      </c>
      <c r="T44" s="309">
        <f t="shared" si="5"/>
        <v>82500</v>
      </c>
      <c r="U44" s="310">
        <v>29</v>
      </c>
      <c r="V44" s="311" t="s">
        <v>313</v>
      </c>
      <c r="W44" s="310"/>
      <c r="X44" s="128"/>
      <c r="Y44" s="127"/>
      <c r="Z44" s="128"/>
      <c r="AA44" s="128"/>
      <c r="AB44" s="128"/>
      <c r="AC44" s="212"/>
      <c r="AD44" s="128"/>
      <c r="AE44" s="212"/>
      <c r="AF44" s="128"/>
      <c r="AG44" s="128"/>
      <c r="AH44" s="201"/>
      <c r="AI44" s="128"/>
      <c r="AJ44" s="128"/>
      <c r="AK44" s="128"/>
      <c r="AL44" s="128"/>
      <c r="AM44" s="128"/>
      <c r="AN44" s="128"/>
      <c r="AO44" s="128"/>
      <c r="AP44" s="201"/>
      <c r="AQ44" s="201"/>
      <c r="AR44" s="128"/>
      <c r="AS44" s="128"/>
      <c r="AT44" s="201"/>
      <c r="AU44" s="201"/>
      <c r="AV44" s="128"/>
      <c r="AW44" s="128"/>
      <c r="AX44" s="128"/>
      <c r="AY44" s="201"/>
      <c r="AZ44" s="201"/>
      <c r="BA44" s="128"/>
      <c r="BB44" s="230"/>
      <c r="BC44" s="128"/>
      <c r="BD44" s="128"/>
      <c r="BE44" s="201"/>
      <c r="BF44" s="201"/>
      <c r="BG44" s="46"/>
      <c r="BH44" s="46"/>
      <c r="BI44" s="46"/>
      <c r="BJ44" s="46"/>
      <c r="BK44" s="46"/>
      <c r="BL44" s="46"/>
      <c r="BM44" s="46"/>
      <c r="BN44" s="46"/>
    </row>
    <row r="45" spans="1:66" s="10" customFormat="1" ht="21" x14ac:dyDescent="0.25">
      <c r="A45" s="302" t="s">
        <v>320</v>
      </c>
      <c r="B45" s="302">
        <v>82500</v>
      </c>
      <c r="C45" s="46"/>
      <c r="D45" s="21"/>
      <c r="E45" s="418" t="s">
        <v>321</v>
      </c>
      <c r="F45" s="305" t="s">
        <v>77</v>
      </c>
      <c r="G45" s="17"/>
      <c r="H45" s="2"/>
      <c r="I45" s="2"/>
      <c r="J45" s="2"/>
      <c r="K45" s="2" t="s">
        <v>6</v>
      </c>
      <c r="L45" s="2" t="s">
        <v>6</v>
      </c>
      <c r="M45" s="2" t="s">
        <v>6</v>
      </c>
      <c r="N45" s="2" t="s">
        <v>6</v>
      </c>
      <c r="O45" s="15" t="s">
        <v>8</v>
      </c>
      <c r="P45" s="28" t="s">
        <v>8</v>
      </c>
      <c r="Q45" s="353"/>
      <c r="R45" s="384" t="s">
        <v>6</v>
      </c>
      <c r="S45" s="308">
        <f>0.99</f>
        <v>0.99</v>
      </c>
      <c r="T45" s="309">
        <f t="shared" si="5"/>
        <v>85000</v>
      </c>
      <c r="U45" s="310">
        <v>30</v>
      </c>
      <c r="V45" s="311" t="s">
        <v>314</v>
      </c>
      <c r="W45" s="310"/>
      <c r="X45" s="128"/>
      <c r="Y45" s="127"/>
      <c r="Z45" s="128"/>
      <c r="AA45" s="128"/>
      <c r="AB45" s="128"/>
      <c r="AC45" s="212"/>
      <c r="AD45" s="128"/>
      <c r="AE45" s="212"/>
      <c r="AF45" s="128"/>
      <c r="AG45" s="128"/>
      <c r="AH45" s="201"/>
      <c r="AI45" s="128"/>
      <c r="AJ45" s="128"/>
      <c r="AK45" s="128"/>
      <c r="AL45" s="128"/>
      <c r="AM45" s="128"/>
      <c r="AN45" s="128"/>
      <c r="AO45" s="128"/>
      <c r="AP45" s="201"/>
      <c r="AQ45" s="201"/>
      <c r="AR45" s="128"/>
      <c r="AS45" s="128"/>
      <c r="AT45" s="201"/>
      <c r="AU45" s="201"/>
      <c r="AV45" s="128"/>
      <c r="AW45" s="128"/>
      <c r="AX45" s="128"/>
      <c r="AY45" s="201"/>
      <c r="AZ45" s="201"/>
      <c r="BA45" s="128"/>
      <c r="BB45" s="230"/>
      <c r="BC45" s="128"/>
      <c r="BD45" s="128"/>
      <c r="BE45" s="201"/>
      <c r="BF45" s="201"/>
      <c r="BG45" s="46"/>
      <c r="BH45" s="46"/>
      <c r="BI45" s="46"/>
      <c r="BJ45" s="46"/>
      <c r="BK45" s="46"/>
      <c r="BL45" s="46"/>
      <c r="BM45" s="46"/>
      <c r="BN45" s="46"/>
    </row>
    <row r="46" spans="1:66" s="10" customFormat="1" ht="21" hidden="1" outlineLevel="1" x14ac:dyDescent="0.3">
      <c r="A46" s="141" t="s">
        <v>16</v>
      </c>
      <c r="B46" s="141" t="s">
        <v>16</v>
      </c>
      <c r="C46" s="46"/>
      <c r="D46" s="21"/>
      <c r="E46" s="35"/>
      <c r="F46" s="22"/>
      <c r="G46" s="23"/>
      <c r="H46" s="4"/>
      <c r="I46" s="4"/>
      <c r="J46" s="4"/>
      <c r="K46" s="4"/>
      <c r="L46" s="4"/>
      <c r="M46" s="4"/>
      <c r="N46" s="4"/>
      <c r="O46" s="142" t="s">
        <v>8</v>
      </c>
      <c r="P46" s="25" t="s">
        <v>7</v>
      </c>
      <c r="Q46" s="354" t="s">
        <v>9</v>
      </c>
      <c r="R46" s="384" t="s">
        <v>6</v>
      </c>
      <c r="S46" s="309"/>
      <c r="T46" s="309">
        <f t="shared" si="5"/>
        <v>87500</v>
      </c>
      <c r="U46" s="310">
        <v>31</v>
      </c>
      <c r="V46" s="311" t="s">
        <v>315</v>
      </c>
      <c r="W46" s="33"/>
      <c r="X46" s="128"/>
      <c r="Y46" s="127"/>
      <c r="Z46" s="128"/>
      <c r="AA46" s="128"/>
      <c r="AB46" s="128"/>
      <c r="AC46" s="212"/>
      <c r="AD46" s="128"/>
      <c r="AE46" s="212"/>
      <c r="AF46" s="128"/>
      <c r="AG46" s="128"/>
      <c r="AH46" s="201"/>
      <c r="AI46" s="128"/>
      <c r="AJ46" s="128"/>
      <c r="AK46" s="128"/>
      <c r="AL46" s="128"/>
      <c r="AM46" s="128"/>
      <c r="AN46" s="128"/>
      <c r="AO46" s="128"/>
      <c r="AP46" s="201"/>
      <c r="AQ46" s="201"/>
      <c r="AR46" s="128"/>
      <c r="AS46" s="128"/>
      <c r="AT46" s="201"/>
      <c r="AU46" s="201"/>
      <c r="AV46" s="128"/>
      <c r="AW46" s="128"/>
      <c r="AX46" s="128"/>
      <c r="AY46" s="201"/>
      <c r="AZ46" s="201"/>
      <c r="BA46" s="128"/>
      <c r="BB46" s="230"/>
      <c r="BC46" s="128"/>
      <c r="BD46" s="128"/>
      <c r="BE46" s="201"/>
      <c r="BF46" s="201"/>
      <c r="BG46" s="46"/>
      <c r="BH46" s="46"/>
      <c r="BI46" s="46"/>
      <c r="BJ46" s="46"/>
      <c r="BK46" s="46"/>
      <c r="BL46" s="46"/>
      <c r="BM46" s="46"/>
      <c r="BN46" s="46"/>
    </row>
    <row r="47" spans="1:66" s="10" customFormat="1" ht="21" hidden="1" outlineLevel="1" x14ac:dyDescent="0.3">
      <c r="A47" s="141" t="s">
        <v>16</v>
      </c>
      <c r="B47" s="141" t="s">
        <v>16</v>
      </c>
      <c r="C47" s="46"/>
      <c r="D47" s="21"/>
      <c r="E47" s="35"/>
      <c r="F47" s="22"/>
      <c r="G47" s="23"/>
      <c r="H47" s="4"/>
      <c r="I47" s="4"/>
      <c r="J47" s="4"/>
      <c r="K47" s="4"/>
      <c r="L47" s="4"/>
      <c r="M47" s="4"/>
      <c r="N47" s="4"/>
      <c r="O47" s="142" t="s">
        <v>8</v>
      </c>
      <c r="P47" s="25" t="s">
        <v>7</v>
      </c>
      <c r="Q47" s="354" t="s">
        <v>9</v>
      </c>
      <c r="R47" s="384" t="s">
        <v>6</v>
      </c>
      <c r="S47" s="309"/>
      <c r="T47" s="309">
        <f t="shared" si="5"/>
        <v>90000</v>
      </c>
      <c r="U47" s="310">
        <v>32</v>
      </c>
      <c r="V47" s="311" t="s">
        <v>316</v>
      </c>
      <c r="W47" s="127"/>
      <c r="X47" s="128"/>
      <c r="Y47" s="127"/>
      <c r="Z47" s="128"/>
      <c r="AA47" s="128"/>
      <c r="AB47" s="128"/>
      <c r="AC47" s="212"/>
      <c r="AD47" s="128"/>
      <c r="AE47" s="212"/>
      <c r="AF47" s="128"/>
      <c r="AG47" s="128"/>
      <c r="AH47" s="201"/>
      <c r="AI47" s="128"/>
      <c r="AJ47" s="128"/>
      <c r="AK47" s="128"/>
      <c r="AL47" s="128"/>
      <c r="AM47" s="128"/>
      <c r="AN47" s="128"/>
      <c r="AO47" s="128"/>
      <c r="AP47" s="201"/>
      <c r="AQ47" s="201"/>
      <c r="AR47" s="128"/>
      <c r="AS47" s="128"/>
      <c r="AT47" s="201"/>
      <c r="AU47" s="201"/>
      <c r="AV47" s="128"/>
      <c r="AW47" s="128"/>
      <c r="AX47" s="128"/>
      <c r="AY47" s="201"/>
      <c r="AZ47" s="201"/>
      <c r="BA47" s="128"/>
      <c r="BB47" s="230"/>
      <c r="BC47" s="128"/>
      <c r="BD47" s="128"/>
      <c r="BE47" s="201"/>
      <c r="BF47" s="201"/>
      <c r="BG47" s="46"/>
      <c r="BH47" s="46"/>
      <c r="BI47" s="46"/>
      <c r="BJ47" s="46"/>
      <c r="BK47" s="46"/>
      <c r="BL47" s="46"/>
      <c r="BM47" s="46"/>
      <c r="BN47" s="46"/>
    </row>
    <row r="48" spans="1:66" s="10" customFormat="1" ht="21" hidden="1" outlineLevel="1" x14ac:dyDescent="0.3">
      <c r="A48" s="141" t="s">
        <v>16</v>
      </c>
      <c r="B48" s="141" t="s">
        <v>16</v>
      </c>
      <c r="C48" s="46"/>
      <c r="D48" s="21"/>
      <c r="E48" s="35"/>
      <c r="F48" s="22"/>
      <c r="G48" s="23"/>
      <c r="H48" s="4"/>
      <c r="I48" s="4"/>
      <c r="J48" s="4"/>
      <c r="K48" s="4"/>
      <c r="L48" s="4"/>
      <c r="M48" s="4"/>
      <c r="N48" s="4"/>
      <c r="O48" s="142" t="s">
        <v>8</v>
      </c>
      <c r="P48" s="25" t="s">
        <v>7</v>
      </c>
      <c r="Q48" s="354" t="s">
        <v>9</v>
      </c>
      <c r="R48" s="384" t="s">
        <v>6</v>
      </c>
      <c r="S48" s="309"/>
      <c r="T48" s="309">
        <f t="shared" si="5"/>
        <v>92500</v>
      </c>
      <c r="U48" s="310">
        <v>33</v>
      </c>
      <c r="V48" s="458" t="s">
        <v>330</v>
      </c>
      <c r="W48" s="459"/>
      <c r="X48" s="33"/>
      <c r="Y48" s="127"/>
      <c r="Z48" s="128"/>
      <c r="AA48" s="128"/>
      <c r="AB48" s="128"/>
      <c r="AC48" s="212"/>
      <c r="AD48" s="128"/>
      <c r="AE48" s="212"/>
      <c r="AF48" s="128"/>
      <c r="AG48" s="128"/>
      <c r="AH48" s="201"/>
      <c r="AI48" s="128"/>
      <c r="AJ48" s="128"/>
      <c r="AK48" s="128"/>
      <c r="AL48" s="128"/>
      <c r="AM48" s="128"/>
      <c r="AN48" s="128"/>
      <c r="AO48" s="128"/>
      <c r="AP48" s="201"/>
      <c r="AQ48" s="201"/>
      <c r="AR48" s="128"/>
      <c r="AS48" s="128"/>
      <c r="AT48" s="201"/>
      <c r="AU48" s="201"/>
      <c r="AV48" s="128"/>
      <c r="AW48" s="128"/>
      <c r="AX48" s="128"/>
      <c r="AY48" s="201"/>
      <c r="AZ48" s="201"/>
      <c r="BA48" s="128"/>
      <c r="BB48" s="230"/>
      <c r="BC48" s="128"/>
      <c r="BD48" s="128"/>
      <c r="BE48" s="201"/>
      <c r="BF48" s="201"/>
      <c r="BG48" s="46"/>
      <c r="BH48" s="46"/>
      <c r="BI48" s="46"/>
      <c r="BJ48" s="46"/>
      <c r="BK48" s="46"/>
      <c r="BL48" s="46"/>
      <c r="BM48" s="46"/>
      <c r="BN48" s="46"/>
    </row>
    <row r="49" spans="1:66" s="10" customFormat="1" ht="21" hidden="1" outlineLevel="1" x14ac:dyDescent="0.3">
      <c r="A49" s="141" t="s">
        <v>16</v>
      </c>
      <c r="B49" s="141" t="s">
        <v>16</v>
      </c>
      <c r="C49" s="46"/>
      <c r="D49" s="21"/>
      <c r="E49" s="35"/>
      <c r="F49" s="22"/>
      <c r="G49" s="23"/>
      <c r="H49" s="4"/>
      <c r="I49" s="4"/>
      <c r="J49" s="4"/>
      <c r="K49" s="4"/>
      <c r="L49" s="4"/>
      <c r="M49" s="4"/>
      <c r="N49" s="4"/>
      <c r="O49" s="142" t="s">
        <v>8</v>
      </c>
      <c r="P49" s="25" t="s">
        <v>7</v>
      </c>
      <c r="Q49" s="354" t="s">
        <v>9</v>
      </c>
      <c r="R49" s="384" t="s">
        <v>6</v>
      </c>
      <c r="S49" s="128"/>
      <c r="T49" s="309">
        <f t="shared" si="5"/>
        <v>95000</v>
      </c>
      <c r="U49" s="310">
        <v>34</v>
      </c>
      <c r="V49" s="458" t="s">
        <v>337</v>
      </c>
      <c r="W49" s="459"/>
      <c r="X49" s="127"/>
      <c r="Y49" s="127"/>
      <c r="Z49" s="128"/>
      <c r="AA49" s="128"/>
      <c r="AB49" s="128"/>
      <c r="AC49" s="212"/>
      <c r="AD49" s="128"/>
      <c r="AE49" s="212"/>
      <c r="AF49" s="128"/>
      <c r="AG49" s="128"/>
      <c r="AH49" s="201"/>
      <c r="AI49" s="128"/>
      <c r="AJ49" s="128"/>
      <c r="AK49" s="128"/>
      <c r="AL49" s="128"/>
      <c r="AM49" s="128"/>
      <c r="AN49" s="128"/>
      <c r="AO49" s="128"/>
      <c r="AP49" s="201"/>
      <c r="AQ49" s="201"/>
      <c r="AR49" s="128"/>
      <c r="AS49" s="128"/>
      <c r="AT49" s="201"/>
      <c r="AU49" s="201"/>
      <c r="AV49" s="128"/>
      <c r="AW49" s="128"/>
      <c r="AX49" s="128"/>
      <c r="AY49" s="201"/>
      <c r="AZ49" s="201"/>
      <c r="BA49" s="128"/>
      <c r="BB49" s="230"/>
      <c r="BC49" s="128"/>
      <c r="BD49" s="128"/>
      <c r="BE49" s="201"/>
      <c r="BF49" s="201"/>
      <c r="BG49" s="46"/>
      <c r="BH49" s="46"/>
      <c r="BI49" s="46"/>
      <c r="BJ49" s="46"/>
      <c r="BK49" s="46"/>
      <c r="BL49" s="46"/>
      <c r="BM49" s="46"/>
      <c r="BN49" s="46"/>
    </row>
    <row r="50" spans="1:66" ht="21" collapsed="1" x14ac:dyDescent="0.3">
      <c r="D50" s="116"/>
      <c r="E50" s="113" t="s">
        <v>124</v>
      </c>
      <c r="F50" s="114" t="s">
        <v>73</v>
      </c>
      <c r="G50" s="118"/>
      <c r="H50" s="119"/>
      <c r="I50" s="119"/>
      <c r="J50" s="119" t="s">
        <v>6</v>
      </c>
      <c r="K50" s="119"/>
      <c r="L50" s="119"/>
      <c r="M50" s="119"/>
      <c r="N50" s="119"/>
      <c r="O50" s="166">
        <v>39.950000000000003</v>
      </c>
      <c r="P50" s="169">
        <v>39.950000000000003</v>
      </c>
      <c r="Q50" s="355" t="s">
        <v>93</v>
      </c>
      <c r="R50" s="384" t="s">
        <v>6</v>
      </c>
      <c r="T50" s="204">
        <f t="shared" si="5"/>
        <v>97500</v>
      </c>
      <c r="U50" s="193">
        <v>35</v>
      </c>
      <c r="V50" s="458" t="s">
        <v>338</v>
      </c>
      <c r="W50" s="458"/>
      <c r="Y50" s="127"/>
    </row>
    <row r="51" spans="1:66" s="9" customFormat="1" ht="21" x14ac:dyDescent="0.3">
      <c r="A51" s="135"/>
      <c r="B51" s="135"/>
      <c r="C51" s="41"/>
      <c r="D51" s="112"/>
      <c r="E51" s="113" t="s">
        <v>84</v>
      </c>
      <c r="F51" s="114" t="s">
        <v>73</v>
      </c>
      <c r="G51" s="118"/>
      <c r="H51" s="119"/>
      <c r="I51" s="119"/>
      <c r="J51" s="119"/>
      <c r="K51" s="119"/>
      <c r="L51" s="119"/>
      <c r="M51" s="119"/>
      <c r="N51" s="119"/>
      <c r="O51" s="166">
        <v>11.95</v>
      </c>
      <c r="P51" s="169">
        <v>11.95</v>
      </c>
      <c r="Q51" s="355" t="s">
        <v>93</v>
      </c>
      <c r="R51" s="384" t="s">
        <v>6</v>
      </c>
      <c r="S51" s="127"/>
      <c r="T51" s="204">
        <f t="shared" si="5"/>
        <v>100000</v>
      </c>
      <c r="U51" s="193">
        <v>36</v>
      </c>
      <c r="V51" s="458" t="s">
        <v>339</v>
      </c>
      <c r="W51" s="458"/>
      <c r="X51" s="33"/>
      <c r="Y51" s="127"/>
      <c r="Z51" s="127"/>
      <c r="AA51" s="127"/>
      <c r="AB51" s="127"/>
      <c r="AC51" s="210"/>
      <c r="AD51" s="127"/>
      <c r="AE51" s="210"/>
      <c r="AF51" s="127"/>
      <c r="AG51" s="127"/>
      <c r="AH51" s="129"/>
      <c r="AI51" s="127"/>
      <c r="AJ51" s="127"/>
      <c r="AK51" s="127"/>
      <c r="AL51" s="127"/>
      <c r="AM51" s="127"/>
      <c r="AN51" s="127"/>
      <c r="AO51" s="127"/>
      <c r="AP51" s="129"/>
      <c r="AQ51" s="129"/>
      <c r="AR51" s="127"/>
      <c r="AS51" s="127"/>
      <c r="AT51" s="129"/>
      <c r="AU51" s="129"/>
      <c r="AV51" s="127"/>
      <c r="AW51" s="127"/>
      <c r="AX51" s="127"/>
      <c r="AY51" s="129"/>
      <c r="AZ51" s="129"/>
      <c r="BA51" s="127"/>
      <c r="BB51" s="228"/>
      <c r="BC51" s="127"/>
      <c r="BD51" s="127"/>
      <c r="BE51" s="129"/>
      <c r="BF51" s="129"/>
      <c r="BG51" s="41"/>
      <c r="BH51" s="41"/>
      <c r="BI51" s="41"/>
      <c r="BJ51" s="41"/>
      <c r="BK51" s="41"/>
      <c r="BL51" s="41"/>
      <c r="BM51" s="41"/>
      <c r="BN51" s="41"/>
    </row>
    <row r="52" spans="1:66" ht="21" x14ac:dyDescent="0.3">
      <c r="D52" s="116"/>
      <c r="E52" s="113" t="s">
        <v>125</v>
      </c>
      <c r="F52" s="114" t="s">
        <v>129</v>
      </c>
      <c r="G52" s="118"/>
      <c r="H52" s="119"/>
      <c r="I52" s="119"/>
      <c r="J52" s="119" t="s">
        <v>6</v>
      </c>
      <c r="K52" s="119"/>
      <c r="L52" s="119"/>
      <c r="M52" s="119"/>
      <c r="N52" s="119"/>
      <c r="O52" s="166">
        <v>24.95</v>
      </c>
      <c r="P52" s="169">
        <v>24.95</v>
      </c>
      <c r="Q52" s="355" t="s">
        <v>93</v>
      </c>
      <c r="R52" s="384" t="s">
        <v>6</v>
      </c>
      <c r="T52" s="204">
        <f t="shared" si="5"/>
        <v>102500</v>
      </c>
      <c r="U52" s="193">
        <v>37</v>
      </c>
      <c r="V52" s="458" t="s">
        <v>340</v>
      </c>
      <c r="W52" s="456"/>
      <c r="Y52" s="127"/>
    </row>
    <row r="53" spans="1:66" ht="21" x14ac:dyDescent="0.3">
      <c r="D53" s="112"/>
      <c r="E53" s="113" t="s">
        <v>85</v>
      </c>
      <c r="F53" s="114" t="s">
        <v>73</v>
      </c>
      <c r="G53" s="118"/>
      <c r="H53" s="119"/>
      <c r="I53" s="119"/>
      <c r="J53" s="119"/>
      <c r="K53" s="119"/>
      <c r="L53" s="119"/>
      <c r="M53" s="119"/>
      <c r="N53" s="119"/>
      <c r="O53" s="166">
        <v>12.95</v>
      </c>
      <c r="P53" s="169">
        <v>12.95</v>
      </c>
      <c r="Q53" s="355" t="s">
        <v>93</v>
      </c>
      <c r="R53" s="384" t="s">
        <v>6</v>
      </c>
      <c r="T53" s="204">
        <f t="shared" si="5"/>
        <v>105000</v>
      </c>
      <c r="U53" s="193">
        <v>38</v>
      </c>
      <c r="V53" s="458" t="s">
        <v>360</v>
      </c>
      <c r="W53" s="456"/>
      <c r="Y53" s="127"/>
    </row>
    <row r="54" spans="1:66" ht="21" x14ac:dyDescent="0.3">
      <c r="D54" s="112"/>
      <c r="E54" s="113" t="s">
        <v>86</v>
      </c>
      <c r="F54" s="114" t="s">
        <v>73</v>
      </c>
      <c r="G54" s="118"/>
      <c r="H54" s="119"/>
      <c r="I54" s="119"/>
      <c r="J54" s="119"/>
      <c r="K54" s="119"/>
      <c r="L54" s="119"/>
      <c r="M54" s="119"/>
      <c r="N54" s="119"/>
      <c r="O54" s="166">
        <v>12.95</v>
      </c>
      <c r="P54" s="169">
        <v>12.95</v>
      </c>
      <c r="Q54" s="355" t="s">
        <v>93</v>
      </c>
      <c r="R54" s="384" t="s">
        <v>6</v>
      </c>
      <c r="T54" s="204">
        <f t="shared" si="5"/>
        <v>107500</v>
      </c>
      <c r="U54" s="193">
        <v>39</v>
      </c>
      <c r="V54" s="205" t="s">
        <v>361</v>
      </c>
      <c r="W54" s="457"/>
      <c r="Y54" s="127"/>
    </row>
    <row r="55" spans="1:66" ht="21" x14ac:dyDescent="0.3">
      <c r="D55" s="112"/>
      <c r="E55" s="113" t="s">
        <v>90</v>
      </c>
      <c r="F55" s="114" t="s">
        <v>73</v>
      </c>
      <c r="G55" s="118"/>
      <c r="H55" s="119"/>
      <c r="I55" s="119"/>
      <c r="J55" s="119"/>
      <c r="K55" s="119"/>
      <c r="L55" s="119"/>
      <c r="M55" s="119"/>
      <c r="N55" s="119"/>
      <c r="O55" s="166">
        <v>14.95</v>
      </c>
      <c r="P55" s="169">
        <v>14.95</v>
      </c>
      <c r="Q55" s="355" t="s">
        <v>93</v>
      </c>
      <c r="R55" s="384" t="s">
        <v>6</v>
      </c>
      <c r="T55" s="204">
        <f t="shared" si="5"/>
        <v>110000</v>
      </c>
      <c r="U55" s="193">
        <v>40</v>
      </c>
      <c r="V55" s="458" t="s">
        <v>362</v>
      </c>
      <c r="W55" s="456"/>
      <c r="X55" s="127"/>
      <c r="Y55" s="127"/>
    </row>
    <row r="56" spans="1:66" ht="21" x14ac:dyDescent="0.3">
      <c r="D56" s="116"/>
      <c r="E56" s="113" t="s">
        <v>91</v>
      </c>
      <c r="F56" s="114" t="s">
        <v>74</v>
      </c>
      <c r="G56" s="118"/>
      <c r="H56" s="119"/>
      <c r="I56" s="119"/>
      <c r="J56" s="119"/>
      <c r="K56" s="119"/>
      <c r="L56" s="119"/>
      <c r="M56" s="119"/>
      <c r="N56" s="119"/>
      <c r="O56" s="166">
        <v>17.95</v>
      </c>
      <c r="P56" s="169">
        <v>17.95</v>
      </c>
      <c r="Q56" s="355" t="s">
        <v>93</v>
      </c>
      <c r="R56" s="384" t="s">
        <v>6</v>
      </c>
      <c r="T56" s="204">
        <f t="shared" si="5"/>
        <v>112500</v>
      </c>
      <c r="U56" s="193">
        <v>41</v>
      </c>
      <c r="V56" s="458" t="s">
        <v>363</v>
      </c>
      <c r="W56" s="456"/>
      <c r="Y56" s="127"/>
    </row>
    <row r="57" spans="1:66" s="9" customFormat="1" ht="21" x14ac:dyDescent="0.3">
      <c r="A57" s="134"/>
      <c r="B57" s="134"/>
      <c r="C57" s="41"/>
      <c r="D57" s="112"/>
      <c r="E57" s="113" t="s">
        <v>80</v>
      </c>
      <c r="F57" s="114" t="s">
        <v>74</v>
      </c>
      <c r="G57" s="118"/>
      <c r="H57" s="119"/>
      <c r="I57" s="119"/>
      <c r="J57" s="119"/>
      <c r="K57" s="119"/>
      <c r="L57" s="119"/>
      <c r="M57" s="119"/>
      <c r="N57" s="119"/>
      <c r="O57" s="166">
        <v>9.9499999999999993</v>
      </c>
      <c r="P57" s="170">
        <v>9.9499999999999993</v>
      </c>
      <c r="Q57" s="356" t="s">
        <v>93</v>
      </c>
      <c r="R57" s="384" t="s">
        <v>6</v>
      </c>
      <c r="S57" s="127"/>
      <c r="T57" s="204">
        <f t="shared" si="5"/>
        <v>115000</v>
      </c>
      <c r="U57" s="193">
        <v>42</v>
      </c>
      <c r="V57" s="458" t="s">
        <v>375</v>
      </c>
      <c r="W57" s="456"/>
      <c r="X57" s="33"/>
      <c r="Y57" s="127"/>
      <c r="Z57" s="127"/>
      <c r="AA57" s="127"/>
      <c r="AB57" s="127"/>
      <c r="AC57" s="210"/>
      <c r="AD57" s="127"/>
      <c r="AE57" s="210"/>
      <c r="AF57" s="127"/>
      <c r="AG57" s="127"/>
      <c r="AH57" s="129"/>
      <c r="AI57" s="127"/>
      <c r="AJ57" s="127"/>
      <c r="AK57" s="127"/>
      <c r="AL57" s="127"/>
      <c r="AM57" s="127"/>
      <c r="AN57" s="127"/>
      <c r="AO57" s="127"/>
      <c r="AP57" s="129"/>
      <c r="AQ57" s="129"/>
      <c r="AR57" s="127"/>
      <c r="AS57" s="127"/>
      <c r="AT57" s="129"/>
      <c r="AU57" s="129"/>
      <c r="AV57" s="127"/>
      <c r="AW57" s="127"/>
      <c r="AX57" s="127"/>
      <c r="AY57" s="129"/>
      <c r="AZ57" s="129"/>
      <c r="BA57" s="127"/>
      <c r="BB57" s="228"/>
      <c r="BC57" s="127"/>
      <c r="BD57" s="127"/>
      <c r="BE57" s="129"/>
      <c r="BF57" s="129"/>
      <c r="BG57" s="41"/>
      <c r="BH57" s="41"/>
      <c r="BI57" s="41"/>
      <c r="BJ57" s="41"/>
      <c r="BK57" s="41"/>
      <c r="BL57" s="41"/>
      <c r="BM57" s="41"/>
      <c r="BN57" s="41"/>
    </row>
    <row r="58" spans="1:66" ht="21" x14ac:dyDescent="0.3">
      <c r="D58" s="112"/>
      <c r="E58" s="113" t="s">
        <v>89</v>
      </c>
      <c r="F58" s="114" t="s">
        <v>73</v>
      </c>
      <c r="G58" s="118"/>
      <c r="H58" s="119"/>
      <c r="I58" s="119"/>
      <c r="J58" s="119"/>
      <c r="K58" s="119"/>
      <c r="L58" s="119"/>
      <c r="M58" s="119"/>
      <c r="N58" s="119"/>
      <c r="O58" s="166">
        <v>14.95</v>
      </c>
      <c r="P58" s="169">
        <v>14.95</v>
      </c>
      <c r="Q58" s="355" t="s">
        <v>93</v>
      </c>
      <c r="R58" s="384" t="s">
        <v>6</v>
      </c>
      <c r="T58" s="204">
        <f t="shared" si="5"/>
        <v>117500</v>
      </c>
      <c r="U58" s="193">
        <v>43</v>
      </c>
      <c r="V58" s="205" t="s">
        <v>376</v>
      </c>
      <c r="W58" s="457"/>
      <c r="Y58" s="127"/>
    </row>
    <row r="59" spans="1:66" ht="21" collapsed="1" x14ac:dyDescent="0.3">
      <c r="D59" s="112"/>
      <c r="E59" s="115" t="s">
        <v>83</v>
      </c>
      <c r="F59" s="114" t="s">
        <v>71</v>
      </c>
      <c r="G59" s="118"/>
      <c r="H59" s="119"/>
      <c r="I59" s="119"/>
      <c r="J59" s="119"/>
      <c r="K59" s="119"/>
      <c r="L59" s="119"/>
      <c r="M59" s="119"/>
      <c r="N59" s="119"/>
      <c r="O59" s="167">
        <v>9.9499999999999993</v>
      </c>
      <c r="P59" s="169">
        <v>19.95</v>
      </c>
      <c r="Q59" s="355" t="s">
        <v>117</v>
      </c>
      <c r="R59" s="384" t="s">
        <v>6</v>
      </c>
      <c r="T59" s="204">
        <f t="shared" si="5"/>
        <v>120000</v>
      </c>
      <c r="U59" s="193">
        <v>44</v>
      </c>
      <c r="V59" s="458" t="s">
        <v>377</v>
      </c>
      <c r="W59" s="456"/>
      <c r="X59" s="127"/>
      <c r="Y59" s="127"/>
    </row>
    <row r="60" spans="1:66" ht="21" x14ac:dyDescent="0.3">
      <c r="D60" s="116"/>
      <c r="E60" s="113" t="s">
        <v>92</v>
      </c>
      <c r="F60" s="114" t="s">
        <v>72</v>
      </c>
      <c r="G60" s="118"/>
      <c r="H60" s="119"/>
      <c r="I60" s="119"/>
      <c r="J60" s="119"/>
      <c r="K60" s="119"/>
      <c r="L60" s="119"/>
      <c r="M60" s="119"/>
      <c r="N60" s="119"/>
      <c r="O60" s="166">
        <v>17.95</v>
      </c>
      <c r="P60" s="169">
        <v>17.95</v>
      </c>
      <c r="Q60" s="355" t="s">
        <v>93</v>
      </c>
      <c r="R60" s="384" t="s">
        <v>6</v>
      </c>
      <c r="T60" s="188">
        <f t="shared" si="5"/>
        <v>122500</v>
      </c>
      <c r="U60" s="187">
        <v>45</v>
      </c>
      <c r="V60" s="456"/>
      <c r="W60" s="456"/>
      <c r="Y60" s="127"/>
    </row>
    <row r="61" spans="1:66" s="9" customFormat="1" ht="21" x14ac:dyDescent="0.3">
      <c r="A61" s="134"/>
      <c r="B61" s="134"/>
      <c r="C61" s="41"/>
      <c r="D61" s="112"/>
      <c r="E61" s="113" t="s">
        <v>237</v>
      </c>
      <c r="F61" s="114" t="s">
        <v>126</v>
      </c>
      <c r="G61" s="118"/>
      <c r="H61" s="119"/>
      <c r="I61" s="119"/>
      <c r="J61" s="119"/>
      <c r="K61" s="119"/>
      <c r="L61" s="119"/>
      <c r="M61" s="119"/>
      <c r="N61" s="119"/>
      <c r="O61" s="166">
        <v>4.95</v>
      </c>
      <c r="P61" s="171">
        <v>4.95</v>
      </c>
      <c r="Q61" s="357" t="s">
        <v>93</v>
      </c>
      <c r="R61" s="384" t="s">
        <v>6</v>
      </c>
      <c r="S61" s="127"/>
      <c r="T61" s="188">
        <f t="shared" si="5"/>
        <v>125000</v>
      </c>
      <c r="U61" s="187">
        <v>46</v>
      </c>
      <c r="V61" s="456"/>
      <c r="W61" s="456"/>
      <c r="X61" s="33"/>
      <c r="Y61" s="127"/>
      <c r="Z61" s="127"/>
      <c r="AA61" s="127"/>
      <c r="AB61" s="127"/>
      <c r="AC61" s="210"/>
      <c r="AD61" s="127"/>
      <c r="AE61" s="210"/>
      <c r="AF61" s="127"/>
      <c r="AG61" s="127"/>
      <c r="AH61" s="129"/>
      <c r="AI61" s="127"/>
      <c r="AJ61" s="127"/>
      <c r="AK61" s="127"/>
      <c r="AL61" s="127"/>
      <c r="AM61" s="127"/>
      <c r="AN61" s="127"/>
      <c r="AO61" s="127"/>
      <c r="AP61" s="129"/>
      <c r="AQ61" s="129"/>
      <c r="AR61" s="127"/>
      <c r="AS61" s="127"/>
      <c r="AT61" s="129"/>
      <c r="AU61" s="129"/>
      <c r="AV61" s="127"/>
      <c r="AW61" s="127"/>
      <c r="AX61" s="127"/>
      <c r="AY61" s="129"/>
      <c r="AZ61" s="129"/>
      <c r="BA61" s="127"/>
      <c r="BB61" s="228"/>
      <c r="BC61" s="127"/>
      <c r="BD61" s="127"/>
      <c r="BE61" s="129"/>
      <c r="BF61" s="129"/>
      <c r="BG61" s="41"/>
      <c r="BH61" s="41"/>
      <c r="BI61" s="41"/>
      <c r="BJ61" s="41"/>
      <c r="BK61" s="41"/>
      <c r="BL61" s="41"/>
      <c r="BM61" s="41"/>
      <c r="BN61" s="41"/>
    </row>
    <row r="62" spans="1:66" ht="21" x14ac:dyDescent="0.3">
      <c r="D62" s="116"/>
      <c r="E62" s="113" t="s">
        <v>141</v>
      </c>
      <c r="F62" s="114" t="s">
        <v>87</v>
      </c>
      <c r="G62" s="118"/>
      <c r="H62" s="119"/>
      <c r="I62" s="119"/>
      <c r="J62" s="119" t="s">
        <v>6</v>
      </c>
      <c r="K62" s="119"/>
      <c r="L62" s="119"/>
      <c r="M62" s="119"/>
      <c r="N62" s="119"/>
      <c r="O62" s="166">
        <v>14.95</v>
      </c>
      <c r="P62" s="169">
        <v>14.95</v>
      </c>
      <c r="Q62" s="355" t="s">
        <v>93</v>
      </c>
      <c r="R62" s="384" t="s">
        <v>6</v>
      </c>
      <c r="T62" s="188">
        <f t="shared" si="5"/>
        <v>127500</v>
      </c>
      <c r="U62" s="187">
        <v>47</v>
      </c>
      <c r="V62" s="456"/>
      <c r="W62" s="456"/>
      <c r="Y62" s="127"/>
    </row>
    <row r="63" spans="1:66" ht="21" x14ac:dyDescent="0.3">
      <c r="D63" s="116"/>
      <c r="E63" s="113" t="s">
        <v>238</v>
      </c>
      <c r="F63" s="114" t="s">
        <v>88</v>
      </c>
      <c r="G63" s="118"/>
      <c r="H63" s="119"/>
      <c r="I63" s="119"/>
      <c r="J63" s="119"/>
      <c r="K63" s="119"/>
      <c r="L63" s="119"/>
      <c r="M63" s="119"/>
      <c r="N63" s="119"/>
      <c r="O63" s="166">
        <v>14.95</v>
      </c>
      <c r="P63" s="169">
        <v>14.95</v>
      </c>
      <c r="Q63" s="355" t="s">
        <v>93</v>
      </c>
      <c r="R63" s="384" t="s">
        <v>6</v>
      </c>
      <c r="T63" s="188">
        <f t="shared" si="5"/>
        <v>130000</v>
      </c>
      <c r="U63" s="187">
        <v>48</v>
      </c>
      <c r="V63" s="456"/>
      <c r="W63" s="456"/>
      <c r="Y63" s="127"/>
    </row>
    <row r="64" spans="1:66" ht="21" x14ac:dyDescent="0.3">
      <c r="D64" s="112"/>
      <c r="E64" s="115" t="s">
        <v>82</v>
      </c>
      <c r="F64" s="114" t="s">
        <v>81</v>
      </c>
      <c r="G64" s="118"/>
      <c r="H64" s="119"/>
      <c r="I64" s="119"/>
      <c r="J64" s="119"/>
      <c r="K64" s="119"/>
      <c r="L64" s="119"/>
      <c r="M64" s="119"/>
      <c r="N64" s="119"/>
      <c r="O64" s="166">
        <v>9.9499999999999993</v>
      </c>
      <c r="P64" s="170">
        <v>9.9499999999999993</v>
      </c>
      <c r="Q64" s="356" t="s">
        <v>93</v>
      </c>
      <c r="R64" s="384" t="s">
        <v>6</v>
      </c>
      <c r="T64" s="188">
        <f t="shared" si="5"/>
        <v>132500</v>
      </c>
      <c r="U64" s="187">
        <v>49</v>
      </c>
      <c r="V64" s="456"/>
      <c r="W64" s="456"/>
      <c r="Y64" s="127"/>
    </row>
    <row r="65" spans="1:66" ht="21" x14ac:dyDescent="0.3">
      <c r="D65" s="112"/>
      <c r="E65" s="113" t="s">
        <v>78</v>
      </c>
      <c r="F65" s="114" t="s">
        <v>79</v>
      </c>
      <c r="G65" s="118"/>
      <c r="H65" s="119"/>
      <c r="I65" s="119"/>
      <c r="J65" s="119" t="s">
        <v>6</v>
      </c>
      <c r="K65" s="119"/>
      <c r="L65" s="119"/>
      <c r="M65" s="119"/>
      <c r="N65" s="119"/>
      <c r="O65" s="167">
        <v>4.95</v>
      </c>
      <c r="P65" s="171">
        <v>9.9499999999999993</v>
      </c>
      <c r="Q65" s="357" t="s">
        <v>117</v>
      </c>
      <c r="R65" s="384" t="s">
        <v>6</v>
      </c>
      <c r="T65" s="188">
        <f t="shared" si="5"/>
        <v>135000</v>
      </c>
      <c r="U65" s="187">
        <v>50</v>
      </c>
      <c r="V65" s="456"/>
      <c r="W65" s="456"/>
      <c r="Y65" s="127"/>
    </row>
    <row r="66" spans="1:66" ht="21" x14ac:dyDescent="0.3">
      <c r="D66" s="112"/>
      <c r="E66" s="113" t="s">
        <v>94</v>
      </c>
      <c r="F66" s="114" t="s">
        <v>95</v>
      </c>
      <c r="G66" s="118"/>
      <c r="H66" s="119"/>
      <c r="I66" s="119"/>
      <c r="J66" s="119"/>
      <c r="K66" s="119"/>
      <c r="L66" s="119"/>
      <c r="M66" s="119"/>
      <c r="N66" s="119"/>
      <c r="O66" s="167">
        <v>19.95</v>
      </c>
      <c r="P66" s="169">
        <v>34.950000000000003</v>
      </c>
      <c r="Q66" s="355" t="s">
        <v>117</v>
      </c>
      <c r="R66" s="384" t="s">
        <v>6</v>
      </c>
      <c r="T66" s="188">
        <f t="shared" si="5"/>
        <v>137500</v>
      </c>
      <c r="U66" s="187">
        <v>51</v>
      </c>
      <c r="V66" s="456"/>
      <c r="W66" s="456"/>
      <c r="Y66" s="127"/>
    </row>
    <row r="67" spans="1:66" ht="21" x14ac:dyDescent="0.3">
      <c r="D67" s="116"/>
      <c r="E67" s="113" t="s">
        <v>96</v>
      </c>
      <c r="F67" s="114" t="s">
        <v>127</v>
      </c>
      <c r="G67" s="118"/>
      <c r="H67" s="119"/>
      <c r="I67" s="119"/>
      <c r="J67" s="119"/>
      <c r="K67" s="119"/>
      <c r="L67" s="119"/>
      <c r="M67" s="119"/>
      <c r="N67" s="119"/>
      <c r="O67" s="166">
        <v>47.85</v>
      </c>
      <c r="P67" s="169">
        <f>P60+P55+P58</f>
        <v>47.849999999999994</v>
      </c>
      <c r="Q67" s="355" t="s">
        <v>93</v>
      </c>
      <c r="R67" s="384" t="s">
        <v>6</v>
      </c>
      <c r="T67" s="188">
        <f t="shared" si="5"/>
        <v>140000</v>
      </c>
      <c r="U67" s="187">
        <v>52</v>
      </c>
      <c r="V67" s="456"/>
      <c r="W67" s="456"/>
      <c r="Y67" s="127"/>
    </row>
    <row r="68" spans="1:66" ht="21" x14ac:dyDescent="0.3">
      <c r="D68" s="116"/>
      <c r="E68" s="113" t="s">
        <v>97</v>
      </c>
      <c r="F68" s="114" t="s">
        <v>128</v>
      </c>
      <c r="G68" s="118"/>
      <c r="H68" s="119"/>
      <c r="I68" s="119"/>
      <c r="J68" s="119"/>
      <c r="K68" s="119"/>
      <c r="L68" s="119"/>
      <c r="M68" s="119"/>
      <c r="N68" s="119"/>
      <c r="O68" s="166">
        <v>70.7</v>
      </c>
      <c r="P68" s="169">
        <f>P51+P57+P56+P53+P54+P61</f>
        <v>70.7</v>
      </c>
      <c r="Q68" s="355" t="s">
        <v>93</v>
      </c>
      <c r="R68" s="384" t="s">
        <v>6</v>
      </c>
      <c r="T68" s="313"/>
      <c r="U68" s="314"/>
      <c r="X68" s="127"/>
      <c r="Y68" s="127"/>
    </row>
    <row r="69" spans="1:66" ht="21.75" thickBot="1" x14ac:dyDescent="0.35">
      <c r="D69" s="117"/>
      <c r="E69" s="155" t="s">
        <v>98</v>
      </c>
      <c r="F69" s="156" t="s">
        <v>87</v>
      </c>
      <c r="G69" s="157"/>
      <c r="H69" s="158"/>
      <c r="I69" s="158"/>
      <c r="J69" s="158"/>
      <c r="K69" s="158"/>
      <c r="L69" s="158"/>
      <c r="M69" s="158"/>
      <c r="N69" s="158"/>
      <c r="O69" s="168">
        <v>80</v>
      </c>
      <c r="P69" s="172">
        <f>39.95+P66+P64+P63+P59+P65</f>
        <v>129.70000000000002</v>
      </c>
      <c r="Q69" s="358" t="s">
        <v>117</v>
      </c>
      <c r="R69" s="384" t="s">
        <v>6</v>
      </c>
      <c r="T69" s="313"/>
      <c r="U69" s="314"/>
      <c r="X69" s="127"/>
      <c r="Y69" s="127"/>
    </row>
    <row r="70" spans="1:66" s="37" customFormat="1" ht="9.75" customHeight="1" thickBot="1" x14ac:dyDescent="0.35">
      <c r="A70" s="134"/>
      <c r="B70" s="134"/>
      <c r="D70" s="38"/>
      <c r="G70" s="36"/>
      <c r="H70" s="36"/>
      <c r="I70" s="36"/>
      <c r="J70" s="36"/>
      <c r="K70" s="36"/>
      <c r="L70" s="36"/>
      <c r="M70" s="36"/>
      <c r="N70" s="36"/>
      <c r="O70" s="39"/>
      <c r="P70" s="40"/>
      <c r="Q70" s="359"/>
      <c r="R70" s="384"/>
      <c r="S70" s="33"/>
      <c r="T70" s="313"/>
      <c r="U70" s="314"/>
      <c r="V70" s="33"/>
      <c r="W70" s="33"/>
      <c r="X70" s="127"/>
      <c r="Y70" s="127"/>
      <c r="Z70" s="33"/>
      <c r="AA70" s="33"/>
      <c r="AB70" s="33"/>
      <c r="AC70" s="34"/>
      <c r="AD70" s="33"/>
      <c r="AE70" s="34"/>
      <c r="AF70" s="33"/>
      <c r="AG70" s="33"/>
      <c r="AH70" s="214"/>
      <c r="AI70" s="33"/>
      <c r="AJ70" s="33"/>
      <c r="AK70" s="33"/>
      <c r="AL70" s="33"/>
      <c r="AM70" s="33"/>
      <c r="AN70" s="33"/>
      <c r="AO70" s="33"/>
      <c r="AP70" s="214"/>
      <c r="AQ70" s="214"/>
      <c r="AR70" s="33"/>
      <c r="AS70" s="33"/>
      <c r="AT70" s="214"/>
      <c r="AU70" s="214"/>
      <c r="AV70" s="33"/>
      <c r="AW70" s="33"/>
      <c r="AX70" s="33"/>
      <c r="AY70" s="214"/>
      <c r="AZ70" s="214"/>
      <c r="BA70" s="33"/>
      <c r="BB70" s="227"/>
      <c r="BC70" s="33"/>
      <c r="BD70" s="33"/>
      <c r="BE70" s="214"/>
      <c r="BF70" s="214"/>
    </row>
    <row r="71" spans="1:66" s="9" customFormat="1" ht="45" x14ac:dyDescent="0.3">
      <c r="A71" s="135"/>
      <c r="B71" s="135"/>
      <c r="C71" s="41"/>
      <c r="D71" s="80" t="s">
        <v>3</v>
      </c>
      <c r="E71" s="111" t="s">
        <v>269</v>
      </c>
      <c r="F71" s="81" t="s">
        <v>4</v>
      </c>
      <c r="G71" s="105" t="s">
        <v>58</v>
      </c>
      <c r="H71" s="105" t="str">
        <f t="shared" ref="H71:N71" si="6">H7</f>
        <v>Fennek</v>
      </c>
      <c r="I71" s="105" t="str">
        <f t="shared" si="6"/>
        <v>Feenhund</v>
      </c>
      <c r="J71" s="105" t="str">
        <f t="shared" si="6"/>
        <v>Frisch erwachte Katze</v>
      </c>
      <c r="K71" s="106" t="str">
        <f t="shared" si="6"/>
        <v>Mungo</v>
      </c>
      <c r="L71" s="106" t="str">
        <f t="shared" si="6"/>
        <v>Rahjatänzer</v>
      </c>
      <c r="M71" s="106" t="str">
        <f t="shared" si="6"/>
        <v>Sandkatze</v>
      </c>
      <c r="N71" s="107" t="str">
        <f t="shared" si="6"/>
        <v>Cha ay Zhamorrah</v>
      </c>
      <c r="O71" s="82" t="s">
        <v>47</v>
      </c>
      <c r="P71" s="83" t="s">
        <v>5</v>
      </c>
      <c r="Q71" s="83" t="s">
        <v>250</v>
      </c>
      <c r="R71" s="391" t="s">
        <v>44</v>
      </c>
      <c r="S71" s="127"/>
      <c r="T71" s="313"/>
      <c r="U71" s="314"/>
      <c r="V71" s="33"/>
      <c r="W71" s="33"/>
      <c r="X71" s="127"/>
      <c r="Y71" s="127"/>
      <c r="Z71" s="127"/>
      <c r="AA71" s="127"/>
      <c r="AB71" s="127"/>
      <c r="AC71" s="210"/>
      <c r="AD71" s="127"/>
      <c r="AE71" s="210"/>
      <c r="AF71" s="127"/>
      <c r="AG71" s="127"/>
      <c r="AH71" s="129"/>
      <c r="AI71" s="127"/>
      <c r="AJ71" s="127"/>
      <c r="AK71" s="127"/>
      <c r="AL71" s="127"/>
      <c r="AM71" s="127"/>
      <c r="AN71" s="127"/>
      <c r="AO71" s="127"/>
      <c r="AP71" s="129"/>
      <c r="AQ71" s="129"/>
      <c r="AR71" s="127"/>
      <c r="AS71" s="127"/>
      <c r="AT71" s="129"/>
      <c r="AU71" s="129"/>
      <c r="AV71" s="127"/>
      <c r="AW71" s="127"/>
      <c r="AX71" s="127"/>
      <c r="AY71" s="129"/>
      <c r="AZ71" s="129"/>
      <c r="BA71" s="127"/>
      <c r="BB71" s="228"/>
      <c r="BC71" s="127"/>
      <c r="BD71" s="127"/>
      <c r="BE71" s="129"/>
      <c r="BF71" s="129"/>
      <c r="BG71" s="41"/>
      <c r="BH71" s="41"/>
      <c r="BI71" s="41"/>
      <c r="BJ71" s="41"/>
      <c r="BK71" s="41"/>
      <c r="BL71" s="41"/>
      <c r="BM71" s="41"/>
      <c r="BN71" s="41"/>
    </row>
    <row r="72" spans="1:66" s="10" customFormat="1" ht="21" x14ac:dyDescent="0.3">
      <c r="A72" s="134"/>
      <c r="B72" s="134"/>
      <c r="C72" s="46"/>
      <c r="D72" s="11"/>
      <c r="E72" s="12" t="s">
        <v>49</v>
      </c>
      <c r="F72" s="13" t="s">
        <v>99</v>
      </c>
      <c r="G72" s="14"/>
      <c r="H72" s="1" t="s">
        <v>6</v>
      </c>
      <c r="I72" s="1" t="s">
        <v>6</v>
      </c>
      <c r="J72" s="1"/>
      <c r="K72" s="2" t="s">
        <v>6</v>
      </c>
      <c r="L72" s="2" t="s">
        <v>6</v>
      </c>
      <c r="M72" s="2" t="s">
        <v>6</v>
      </c>
      <c r="N72" s="1" t="s">
        <v>6</v>
      </c>
      <c r="O72" s="15" t="s">
        <v>8</v>
      </c>
      <c r="P72" s="159">
        <v>19.989999999999998</v>
      </c>
      <c r="Q72" s="352" t="s">
        <v>9</v>
      </c>
      <c r="R72" s="384" t="s">
        <v>6</v>
      </c>
      <c r="S72" s="128"/>
      <c r="T72" s="313"/>
      <c r="U72" s="314"/>
      <c r="V72" s="33"/>
      <c r="W72" s="33"/>
      <c r="X72" s="128"/>
      <c r="Y72" s="127"/>
      <c r="Z72" s="128"/>
      <c r="AA72" s="128"/>
      <c r="AB72" s="128"/>
      <c r="AC72" s="212"/>
      <c r="AD72" s="128"/>
      <c r="AE72" s="212"/>
      <c r="AF72" s="128"/>
      <c r="AG72" s="128"/>
      <c r="AH72" s="201"/>
      <c r="AI72" s="128"/>
      <c r="AJ72" s="128"/>
      <c r="AK72" s="128"/>
      <c r="AL72" s="128"/>
      <c r="AM72" s="128"/>
      <c r="AN72" s="128"/>
      <c r="AO72" s="128"/>
      <c r="AP72" s="201"/>
      <c r="AQ72" s="201"/>
      <c r="AR72" s="128"/>
      <c r="AS72" s="128"/>
      <c r="AT72" s="201"/>
      <c r="AU72" s="201"/>
      <c r="AV72" s="128"/>
      <c r="AW72" s="128"/>
      <c r="AX72" s="128"/>
      <c r="AY72" s="201"/>
      <c r="AZ72" s="201"/>
      <c r="BA72" s="128"/>
      <c r="BB72" s="230"/>
      <c r="BC72" s="128"/>
      <c r="BD72" s="128"/>
      <c r="BE72" s="201"/>
      <c r="BF72" s="201"/>
      <c r="BG72" s="46"/>
      <c r="BH72" s="46"/>
      <c r="BI72" s="46"/>
      <c r="BJ72" s="46"/>
      <c r="BK72" s="46"/>
      <c r="BL72" s="46"/>
      <c r="BM72" s="46"/>
      <c r="BN72" s="46"/>
    </row>
    <row r="73" spans="1:66" s="10" customFormat="1" ht="21" x14ac:dyDescent="0.3">
      <c r="A73" s="140" t="s">
        <v>275</v>
      </c>
      <c r="B73" s="140" t="s">
        <v>276</v>
      </c>
      <c r="C73" s="46"/>
      <c r="D73" s="11"/>
      <c r="E73" s="417" t="s">
        <v>288</v>
      </c>
      <c r="F73" s="13" t="s">
        <v>99</v>
      </c>
      <c r="G73" s="17"/>
      <c r="H73" s="2"/>
      <c r="I73" s="2" t="s">
        <v>6</v>
      </c>
      <c r="J73" s="2"/>
      <c r="K73" s="2" t="s">
        <v>6</v>
      </c>
      <c r="L73" s="2" t="s">
        <v>6</v>
      </c>
      <c r="M73" s="2" t="s">
        <v>6</v>
      </c>
      <c r="N73" s="2" t="s">
        <v>6</v>
      </c>
      <c r="O73" s="15" t="s">
        <v>8</v>
      </c>
      <c r="P73" s="159">
        <v>9.99</v>
      </c>
      <c r="Q73" s="352" t="s">
        <v>9</v>
      </c>
      <c r="R73" s="384" t="s">
        <v>6</v>
      </c>
      <c r="S73" s="128"/>
      <c r="T73" s="313"/>
      <c r="U73" s="314"/>
      <c r="V73" s="33"/>
      <c r="W73" s="33"/>
      <c r="X73" s="128"/>
      <c r="Y73" s="127"/>
      <c r="Z73" s="128"/>
      <c r="AA73" s="128"/>
      <c r="AB73" s="128"/>
      <c r="AC73" s="212"/>
      <c r="AD73" s="128"/>
      <c r="AE73" s="212"/>
      <c r="AF73" s="128"/>
      <c r="AG73" s="128"/>
      <c r="AH73" s="201"/>
      <c r="AI73" s="128"/>
      <c r="AJ73" s="128"/>
      <c r="AK73" s="128"/>
      <c r="AL73" s="128"/>
      <c r="AM73" s="128"/>
      <c r="AN73" s="128"/>
      <c r="AO73" s="128"/>
      <c r="AP73" s="201"/>
      <c r="AQ73" s="201"/>
      <c r="AR73" s="128"/>
      <c r="AS73" s="128"/>
      <c r="AT73" s="201"/>
      <c r="AU73" s="201"/>
      <c r="AV73" s="128"/>
      <c r="AW73" s="128"/>
      <c r="AX73" s="128"/>
      <c r="AY73" s="201"/>
      <c r="AZ73" s="201"/>
      <c r="BA73" s="128"/>
      <c r="BB73" s="230"/>
      <c r="BC73" s="128"/>
      <c r="BD73" s="128"/>
      <c r="BE73" s="201"/>
      <c r="BF73" s="201"/>
      <c r="BG73" s="46"/>
      <c r="BH73" s="46"/>
      <c r="BI73" s="46"/>
      <c r="BJ73" s="46"/>
      <c r="BK73" s="46"/>
      <c r="BL73" s="46"/>
      <c r="BM73" s="46"/>
      <c r="BN73" s="46"/>
    </row>
    <row r="74" spans="1:66" s="10" customFormat="1" ht="21" x14ac:dyDescent="0.3">
      <c r="A74" s="140" t="s">
        <v>325</v>
      </c>
      <c r="B74" s="140" t="s">
        <v>326</v>
      </c>
      <c r="C74" s="46"/>
      <c r="D74" s="11"/>
      <c r="E74" s="18" t="s">
        <v>322</v>
      </c>
      <c r="F74" s="13" t="s">
        <v>99</v>
      </c>
      <c r="G74" s="19"/>
      <c r="H74" s="3"/>
      <c r="I74" s="3" t="s">
        <v>6</v>
      </c>
      <c r="J74" s="3"/>
      <c r="K74" s="2" t="s">
        <v>6</v>
      </c>
      <c r="L74" s="2" t="s">
        <v>6</v>
      </c>
      <c r="M74" s="2" t="s">
        <v>6</v>
      </c>
      <c r="N74" s="3" t="s">
        <v>6</v>
      </c>
      <c r="O74" s="15" t="s">
        <v>8</v>
      </c>
      <c r="P74" s="159">
        <v>9.99</v>
      </c>
      <c r="Q74" s="352" t="s">
        <v>9</v>
      </c>
      <c r="R74" s="384" t="s">
        <v>6</v>
      </c>
      <c r="S74" s="128"/>
      <c r="T74" s="313"/>
      <c r="U74" s="314"/>
      <c r="V74" s="33"/>
      <c r="W74" s="33"/>
      <c r="X74" s="128"/>
      <c r="Y74" s="127"/>
      <c r="Z74" s="128"/>
      <c r="AA74" s="128"/>
      <c r="AB74" s="128"/>
      <c r="AC74" s="212"/>
      <c r="AD74" s="128"/>
      <c r="AE74" s="212"/>
      <c r="AF74" s="128"/>
      <c r="AG74" s="128"/>
      <c r="AH74" s="201"/>
      <c r="AI74" s="128"/>
      <c r="AJ74" s="128"/>
      <c r="AK74" s="128"/>
      <c r="AL74" s="128"/>
      <c r="AM74" s="128"/>
      <c r="AN74" s="128"/>
      <c r="AO74" s="128"/>
      <c r="AP74" s="201"/>
      <c r="AQ74" s="201"/>
      <c r="AR74" s="128"/>
      <c r="AS74" s="128"/>
      <c r="AT74" s="201"/>
      <c r="AU74" s="201"/>
      <c r="AV74" s="128"/>
      <c r="AW74" s="128"/>
      <c r="AX74" s="128"/>
      <c r="AY74" s="201"/>
      <c r="AZ74" s="201"/>
      <c r="BA74" s="128"/>
      <c r="BB74" s="230"/>
      <c r="BC74" s="128"/>
      <c r="BD74" s="128"/>
      <c r="BE74" s="201"/>
      <c r="BF74" s="201"/>
      <c r="BG74" s="46"/>
      <c r="BH74" s="46"/>
      <c r="BI74" s="46"/>
      <c r="BJ74" s="46"/>
      <c r="BK74" s="46"/>
      <c r="BL74" s="46"/>
      <c r="BM74" s="46"/>
      <c r="BN74" s="46"/>
    </row>
    <row r="75" spans="1:66" s="10" customFormat="1" ht="21" x14ac:dyDescent="0.3">
      <c r="A75" s="140" t="s">
        <v>323</v>
      </c>
      <c r="B75" s="140" t="s">
        <v>324</v>
      </c>
      <c r="C75" s="46"/>
      <c r="D75" s="11"/>
      <c r="E75" s="12" t="s">
        <v>328</v>
      </c>
      <c r="F75" s="13" t="s">
        <v>99</v>
      </c>
      <c r="G75" s="17"/>
      <c r="H75" s="2"/>
      <c r="I75" s="2" t="s">
        <v>6</v>
      </c>
      <c r="J75" s="2"/>
      <c r="K75" s="2" t="s">
        <v>6</v>
      </c>
      <c r="L75" s="2" t="s">
        <v>6</v>
      </c>
      <c r="M75" s="2" t="s">
        <v>6</v>
      </c>
      <c r="N75" s="2" t="s">
        <v>6</v>
      </c>
      <c r="O75" s="15" t="s">
        <v>8</v>
      </c>
      <c r="P75" s="159">
        <v>9.99</v>
      </c>
      <c r="Q75" s="352" t="s">
        <v>9</v>
      </c>
      <c r="R75" s="384" t="s">
        <v>6</v>
      </c>
      <c r="S75" s="128"/>
      <c r="T75" s="313"/>
      <c r="U75" s="314"/>
      <c r="V75" s="33"/>
      <c r="W75" s="33"/>
      <c r="X75" s="128"/>
      <c r="Y75" s="128"/>
      <c r="Z75" s="128"/>
      <c r="AA75" s="128"/>
      <c r="AB75" s="128"/>
      <c r="AC75" s="212"/>
      <c r="AD75" s="128"/>
      <c r="AE75" s="212"/>
      <c r="AF75" s="128"/>
      <c r="AG75" s="128"/>
      <c r="AH75" s="201"/>
      <c r="AI75" s="128"/>
      <c r="AJ75" s="128"/>
      <c r="AK75" s="128"/>
      <c r="AL75" s="128"/>
      <c r="AM75" s="128"/>
      <c r="AN75" s="128"/>
      <c r="AO75" s="128"/>
      <c r="AP75" s="201"/>
      <c r="AQ75" s="201"/>
      <c r="AR75" s="128"/>
      <c r="AS75" s="128"/>
      <c r="AT75" s="201"/>
      <c r="AU75" s="201"/>
      <c r="AV75" s="128"/>
      <c r="AW75" s="128"/>
      <c r="AX75" s="128"/>
      <c r="AY75" s="201"/>
      <c r="AZ75" s="201"/>
      <c r="BA75" s="128"/>
      <c r="BB75" s="230"/>
      <c r="BC75" s="128"/>
      <c r="BD75" s="128"/>
      <c r="BE75" s="201"/>
      <c r="BF75" s="201"/>
      <c r="BG75" s="46"/>
      <c r="BH75" s="46"/>
      <c r="BI75" s="46"/>
      <c r="BJ75" s="46"/>
      <c r="BK75" s="46"/>
      <c r="BL75" s="46"/>
      <c r="BM75" s="46"/>
      <c r="BN75" s="46"/>
    </row>
    <row r="76" spans="1:66" s="10" customFormat="1" ht="21" x14ac:dyDescent="0.3">
      <c r="A76" s="134"/>
      <c r="B76" s="134"/>
      <c r="C76" s="46"/>
      <c r="D76" s="11"/>
      <c r="E76" s="12" t="s">
        <v>48</v>
      </c>
      <c r="F76" s="13" t="s">
        <v>99</v>
      </c>
      <c r="G76" s="17"/>
      <c r="H76" s="2"/>
      <c r="I76" s="2" t="s">
        <v>6</v>
      </c>
      <c r="J76" s="2"/>
      <c r="K76" s="2" t="s">
        <v>6</v>
      </c>
      <c r="L76" s="2" t="s">
        <v>6</v>
      </c>
      <c r="M76" s="2" t="s">
        <v>6</v>
      </c>
      <c r="N76" s="2" t="s">
        <v>6</v>
      </c>
      <c r="O76" s="15" t="s">
        <v>8</v>
      </c>
      <c r="P76" s="159">
        <v>7.99</v>
      </c>
      <c r="Q76" s="352" t="s">
        <v>9</v>
      </c>
      <c r="R76" s="384" t="s">
        <v>6</v>
      </c>
      <c r="S76" s="128"/>
      <c r="T76" s="313"/>
      <c r="U76" s="314"/>
      <c r="V76" s="33"/>
      <c r="W76" s="33"/>
      <c r="X76" s="128"/>
      <c r="Y76" s="128"/>
      <c r="Z76" s="128"/>
      <c r="AA76" s="128"/>
      <c r="AB76" s="128"/>
      <c r="AC76" s="212"/>
      <c r="AD76" s="128"/>
      <c r="AE76" s="212"/>
      <c r="AF76" s="128"/>
      <c r="AG76" s="128"/>
      <c r="AH76" s="201"/>
      <c r="AI76" s="128"/>
      <c r="AJ76" s="128"/>
      <c r="AK76" s="128"/>
      <c r="AL76" s="128"/>
      <c r="AM76" s="128"/>
      <c r="AN76" s="128"/>
      <c r="AO76" s="128"/>
      <c r="AP76" s="201"/>
      <c r="AQ76" s="201"/>
      <c r="AR76" s="128"/>
      <c r="AS76" s="128"/>
      <c r="AT76" s="201"/>
      <c r="AU76" s="201"/>
      <c r="AV76" s="128"/>
      <c r="AW76" s="128"/>
      <c r="AX76" s="128"/>
      <c r="AY76" s="201"/>
      <c r="AZ76" s="201"/>
      <c r="BA76" s="128"/>
      <c r="BB76" s="230"/>
      <c r="BC76" s="128"/>
      <c r="BD76" s="128"/>
      <c r="BE76" s="201"/>
      <c r="BF76" s="201"/>
      <c r="BG76" s="46"/>
      <c r="BH76" s="46"/>
      <c r="BI76" s="46"/>
      <c r="BJ76" s="46"/>
      <c r="BK76" s="46"/>
      <c r="BL76" s="46"/>
      <c r="BM76" s="46"/>
      <c r="BN76" s="46"/>
    </row>
    <row r="77" spans="1:66" s="9" customFormat="1" ht="21" x14ac:dyDescent="0.3">
      <c r="A77" s="134"/>
      <c r="B77" s="134"/>
      <c r="C77" s="41"/>
      <c r="D77" s="11"/>
      <c r="E77" s="12" t="s">
        <v>51</v>
      </c>
      <c r="F77" s="13" t="s">
        <v>99</v>
      </c>
      <c r="G77" s="14"/>
      <c r="H77" s="1"/>
      <c r="I77" s="1" t="s">
        <v>6</v>
      </c>
      <c r="J77" s="1"/>
      <c r="K77" s="2" t="s">
        <v>6</v>
      </c>
      <c r="L77" s="2" t="s">
        <v>6</v>
      </c>
      <c r="M77" s="2" t="s">
        <v>6</v>
      </c>
      <c r="N77" s="1" t="s">
        <v>6</v>
      </c>
      <c r="O77" s="15" t="s">
        <v>8</v>
      </c>
      <c r="P77" s="159">
        <v>7.99</v>
      </c>
      <c r="Q77" s="352" t="s">
        <v>9</v>
      </c>
      <c r="R77" s="384" t="s">
        <v>6</v>
      </c>
      <c r="S77" s="127"/>
      <c r="T77" s="313"/>
      <c r="U77" s="314"/>
      <c r="V77" s="33"/>
      <c r="W77" s="33"/>
      <c r="X77" s="127"/>
      <c r="Y77" s="127"/>
      <c r="Z77" s="127"/>
      <c r="AA77" s="127"/>
      <c r="AB77" s="127"/>
      <c r="AC77" s="210"/>
      <c r="AD77" s="127"/>
      <c r="AE77" s="210"/>
      <c r="AF77" s="127"/>
      <c r="AG77" s="127"/>
      <c r="AH77" s="129"/>
      <c r="AI77" s="127"/>
      <c r="AJ77" s="127"/>
      <c r="AK77" s="127"/>
      <c r="AL77" s="127"/>
      <c r="AM77" s="127"/>
      <c r="AN77" s="127"/>
      <c r="AO77" s="127"/>
      <c r="AP77" s="129"/>
      <c r="AQ77" s="129"/>
      <c r="AR77" s="127"/>
      <c r="AS77" s="127"/>
      <c r="AT77" s="129"/>
      <c r="AU77" s="129"/>
      <c r="AV77" s="127"/>
      <c r="AW77" s="127"/>
      <c r="AX77" s="127"/>
      <c r="AY77" s="129"/>
      <c r="AZ77" s="129"/>
      <c r="BA77" s="127"/>
      <c r="BB77" s="228"/>
      <c r="BC77" s="127"/>
      <c r="BD77" s="127"/>
      <c r="BE77" s="129"/>
      <c r="BF77" s="129"/>
      <c r="BG77" s="41"/>
      <c r="BH77" s="41"/>
      <c r="BI77" s="41"/>
      <c r="BJ77" s="41"/>
      <c r="BK77" s="41"/>
      <c r="BL77" s="41"/>
      <c r="BM77" s="41"/>
      <c r="BN77" s="41"/>
    </row>
    <row r="78" spans="1:66" s="9" customFormat="1" ht="21" x14ac:dyDescent="0.3">
      <c r="A78" s="140" t="s">
        <v>371</v>
      </c>
      <c r="B78" s="140">
        <v>110000</v>
      </c>
      <c r="C78" s="41"/>
      <c r="D78" s="11"/>
      <c r="E78" s="12" t="s">
        <v>370</v>
      </c>
      <c r="F78" s="13" t="s">
        <v>99</v>
      </c>
      <c r="G78" s="14"/>
      <c r="H78" s="1" t="s">
        <v>6</v>
      </c>
      <c r="I78" s="1" t="s">
        <v>6</v>
      </c>
      <c r="J78" s="1"/>
      <c r="K78" s="2" t="s">
        <v>6</v>
      </c>
      <c r="L78" s="2" t="s">
        <v>6</v>
      </c>
      <c r="M78" s="2" t="s">
        <v>6</v>
      </c>
      <c r="N78" s="1" t="s">
        <v>6</v>
      </c>
      <c r="O78" s="15" t="s">
        <v>8</v>
      </c>
      <c r="P78" s="159">
        <v>2.99</v>
      </c>
      <c r="Q78" s="352" t="s">
        <v>9</v>
      </c>
      <c r="R78" s="384" t="s">
        <v>6</v>
      </c>
      <c r="S78" s="127"/>
      <c r="T78" s="313"/>
      <c r="U78" s="314"/>
      <c r="V78" s="33"/>
      <c r="W78" s="33"/>
      <c r="X78" s="127"/>
      <c r="Y78" s="127"/>
      <c r="Z78" s="127"/>
      <c r="AA78" s="127"/>
      <c r="AB78" s="127"/>
      <c r="AC78" s="210"/>
      <c r="AD78" s="127"/>
      <c r="AE78" s="210"/>
      <c r="AF78" s="127"/>
      <c r="AG78" s="127"/>
      <c r="AH78" s="129"/>
      <c r="AI78" s="127"/>
      <c r="AJ78" s="127"/>
      <c r="AK78" s="127"/>
      <c r="AL78" s="127"/>
      <c r="AM78" s="127"/>
      <c r="AN78" s="127"/>
      <c r="AO78" s="127"/>
      <c r="AP78" s="129"/>
      <c r="AQ78" s="129"/>
      <c r="AR78" s="127"/>
      <c r="AS78" s="127"/>
      <c r="AT78" s="129"/>
      <c r="AU78" s="129"/>
      <c r="AV78" s="127"/>
      <c r="AW78" s="127"/>
      <c r="AX78" s="127"/>
      <c r="AY78" s="129"/>
      <c r="AZ78" s="129"/>
      <c r="BA78" s="127"/>
      <c r="BB78" s="228"/>
      <c r="BC78" s="127"/>
      <c r="BD78" s="127"/>
      <c r="BE78" s="129"/>
      <c r="BF78" s="129"/>
      <c r="BG78" s="41"/>
      <c r="BH78" s="41"/>
      <c r="BI78" s="41"/>
      <c r="BJ78" s="41"/>
      <c r="BK78" s="41"/>
      <c r="BL78" s="41"/>
      <c r="BM78" s="41"/>
      <c r="BN78" s="41"/>
    </row>
    <row r="79" spans="1:66" s="9" customFormat="1" ht="21" x14ac:dyDescent="0.3">
      <c r="A79" s="134"/>
      <c r="B79" s="134"/>
      <c r="C79" s="41"/>
      <c r="D79" s="11"/>
      <c r="E79" s="12" t="s">
        <v>52</v>
      </c>
      <c r="F79" s="13" t="s">
        <v>99</v>
      </c>
      <c r="G79" s="17"/>
      <c r="H79" s="2"/>
      <c r="I79" s="2" t="s">
        <v>6</v>
      </c>
      <c r="J79" s="2"/>
      <c r="K79" s="2" t="s">
        <v>6</v>
      </c>
      <c r="L79" s="2" t="s">
        <v>6</v>
      </c>
      <c r="M79" s="2" t="s">
        <v>6</v>
      </c>
      <c r="N79" s="2" t="s">
        <v>6</v>
      </c>
      <c r="O79" s="15" t="s">
        <v>8</v>
      </c>
      <c r="P79" s="28">
        <v>8.99</v>
      </c>
      <c r="Q79" s="353" t="s">
        <v>9</v>
      </c>
      <c r="R79" s="384" t="s">
        <v>6</v>
      </c>
      <c r="S79" s="127"/>
      <c r="T79" s="313"/>
      <c r="U79" s="314"/>
      <c r="V79" s="33"/>
      <c r="W79" s="33"/>
      <c r="X79" s="127"/>
      <c r="Y79" s="127"/>
      <c r="Z79" s="127"/>
      <c r="AA79" s="127"/>
      <c r="AB79" s="127"/>
      <c r="AC79" s="210"/>
      <c r="AD79" s="127"/>
      <c r="AE79" s="210"/>
      <c r="AF79" s="127"/>
      <c r="AG79" s="127"/>
      <c r="AH79" s="129"/>
      <c r="AI79" s="127"/>
      <c r="AJ79" s="127"/>
      <c r="AK79" s="127"/>
      <c r="AL79" s="127"/>
      <c r="AM79" s="127"/>
      <c r="AN79" s="127"/>
      <c r="AO79" s="127"/>
      <c r="AP79" s="129"/>
      <c r="AQ79" s="129"/>
      <c r="AR79" s="127"/>
      <c r="AS79" s="127"/>
      <c r="AT79" s="129"/>
      <c r="AU79" s="129"/>
      <c r="AV79" s="127"/>
      <c r="AW79" s="127"/>
      <c r="AX79" s="127"/>
      <c r="AY79" s="129"/>
      <c r="AZ79" s="129"/>
      <c r="BA79" s="127"/>
      <c r="BB79" s="228"/>
      <c r="BC79" s="127"/>
      <c r="BD79" s="127"/>
      <c r="BE79" s="129"/>
      <c r="BF79" s="129"/>
      <c r="BG79" s="41"/>
      <c r="BH79" s="41"/>
      <c r="BI79" s="41"/>
      <c r="BJ79" s="41"/>
      <c r="BK79" s="41"/>
      <c r="BL79" s="41"/>
      <c r="BM79" s="41"/>
      <c r="BN79" s="41"/>
    </row>
    <row r="80" spans="1:66" s="27" customFormat="1" ht="21" x14ac:dyDescent="0.3">
      <c r="A80" s="134"/>
      <c r="B80" s="134"/>
      <c r="C80" s="47"/>
      <c r="D80" s="11"/>
      <c r="E80" s="12" t="s">
        <v>53</v>
      </c>
      <c r="F80" s="13" t="s">
        <v>99</v>
      </c>
      <c r="G80" s="17"/>
      <c r="H80" s="2"/>
      <c r="I80" s="2" t="s">
        <v>6</v>
      </c>
      <c r="J80" s="2"/>
      <c r="K80" s="2"/>
      <c r="L80" s="2" t="s">
        <v>6</v>
      </c>
      <c r="M80" s="2" t="s">
        <v>6</v>
      </c>
      <c r="N80" s="2" t="s">
        <v>6</v>
      </c>
      <c r="O80" s="15" t="s">
        <v>8</v>
      </c>
      <c r="P80" s="159">
        <v>1.99</v>
      </c>
      <c r="Q80" s="352" t="s">
        <v>9</v>
      </c>
      <c r="R80" s="384" t="s">
        <v>6</v>
      </c>
      <c r="S80" s="129"/>
      <c r="T80" s="313"/>
      <c r="U80" s="314"/>
      <c r="V80" s="33"/>
      <c r="W80" s="33"/>
      <c r="X80" s="129"/>
      <c r="Y80" s="129"/>
      <c r="Z80" s="129"/>
      <c r="AA80" s="129"/>
      <c r="AB80" s="129"/>
      <c r="AC80" s="213"/>
      <c r="AD80" s="129"/>
      <c r="AE80" s="213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7"/>
      <c r="AS80" s="127"/>
      <c r="AT80" s="129"/>
      <c r="AU80" s="129"/>
      <c r="AV80" s="129"/>
      <c r="AW80" s="127"/>
      <c r="AX80" s="127"/>
      <c r="AY80" s="129"/>
      <c r="AZ80" s="129"/>
      <c r="BA80" s="129"/>
      <c r="BB80" s="231"/>
      <c r="BC80" s="129"/>
      <c r="BD80" s="129"/>
      <c r="BE80" s="129"/>
      <c r="BF80" s="129"/>
      <c r="BG80" s="47"/>
      <c r="BH80" s="47"/>
      <c r="BI80" s="47"/>
      <c r="BJ80" s="47"/>
      <c r="BK80" s="47"/>
      <c r="BL80" s="47"/>
      <c r="BM80" s="47"/>
      <c r="BN80" s="47"/>
    </row>
    <row r="81" spans="1:66" s="9" customFormat="1" ht="21" x14ac:dyDescent="0.3">
      <c r="A81" s="134"/>
      <c r="B81" s="134"/>
      <c r="C81" s="41"/>
      <c r="D81" s="11"/>
      <c r="E81" s="12" t="s">
        <v>75</v>
      </c>
      <c r="F81" s="13" t="s">
        <v>99</v>
      </c>
      <c r="G81" s="17"/>
      <c r="H81" s="2"/>
      <c r="I81" s="2" t="s">
        <v>6</v>
      </c>
      <c r="J81" s="2"/>
      <c r="K81" s="2"/>
      <c r="L81" s="2" t="s">
        <v>6</v>
      </c>
      <c r="M81" s="2" t="s">
        <v>6</v>
      </c>
      <c r="N81" s="2" t="s">
        <v>6</v>
      </c>
      <c r="O81" s="15" t="s">
        <v>8</v>
      </c>
      <c r="P81" s="159">
        <v>1.99</v>
      </c>
      <c r="Q81" s="352" t="s">
        <v>9</v>
      </c>
      <c r="R81" s="384" t="s">
        <v>6</v>
      </c>
      <c r="S81" s="127"/>
      <c r="T81" s="313"/>
      <c r="U81" s="314"/>
      <c r="V81" s="33"/>
      <c r="W81" s="33"/>
      <c r="X81" s="127"/>
      <c r="Y81" s="127"/>
      <c r="Z81" s="127"/>
      <c r="AA81" s="127"/>
      <c r="AB81" s="127"/>
      <c r="AC81" s="210"/>
      <c r="AD81" s="127"/>
      <c r="AE81" s="210"/>
      <c r="AF81" s="127"/>
      <c r="AG81" s="127"/>
      <c r="AH81" s="129"/>
      <c r="AI81" s="127"/>
      <c r="AJ81" s="127"/>
      <c r="AK81" s="127"/>
      <c r="AL81" s="127"/>
      <c r="AM81" s="127"/>
      <c r="AN81" s="127"/>
      <c r="AO81" s="127"/>
      <c r="AP81" s="129"/>
      <c r="AQ81" s="129"/>
      <c r="AR81" s="127"/>
      <c r="AS81" s="127"/>
      <c r="AT81" s="129"/>
      <c r="AU81" s="129"/>
      <c r="AV81" s="127"/>
      <c r="AW81" s="127"/>
      <c r="AX81" s="127"/>
      <c r="AY81" s="129"/>
      <c r="AZ81" s="129"/>
      <c r="BA81" s="127"/>
      <c r="BB81" s="228"/>
      <c r="BC81" s="127"/>
      <c r="BD81" s="127"/>
      <c r="BE81" s="129"/>
      <c r="BF81" s="129"/>
      <c r="BG81" s="41"/>
      <c r="BH81" s="41"/>
      <c r="BI81" s="41"/>
      <c r="BJ81" s="41"/>
      <c r="BK81" s="41"/>
      <c r="BL81" s="41"/>
      <c r="BM81" s="41"/>
      <c r="BN81" s="41"/>
    </row>
    <row r="82" spans="1:66" s="9" customFormat="1" ht="21" x14ac:dyDescent="0.25">
      <c r="A82" s="140" t="s">
        <v>265</v>
      </c>
      <c r="B82" s="140" t="s">
        <v>232</v>
      </c>
      <c r="C82" s="41"/>
      <c r="D82" s="11"/>
      <c r="E82" s="12" t="s">
        <v>266</v>
      </c>
      <c r="F82" s="13" t="s">
        <v>100</v>
      </c>
      <c r="G82" s="17"/>
      <c r="H82" s="2" t="s">
        <v>6</v>
      </c>
      <c r="I82" s="2" t="s">
        <v>6</v>
      </c>
      <c r="J82" s="2"/>
      <c r="K82" s="2" t="s">
        <v>6</v>
      </c>
      <c r="L82" s="2" t="s">
        <v>6</v>
      </c>
      <c r="M82" s="2" t="s">
        <v>6</v>
      </c>
      <c r="N82" s="2" t="s">
        <v>6</v>
      </c>
      <c r="O82" s="15" t="s">
        <v>8</v>
      </c>
      <c r="P82" s="159">
        <f>P24/2/20*20</f>
        <v>9.9749999999999996</v>
      </c>
      <c r="Q82" s="352" t="s">
        <v>9</v>
      </c>
      <c r="R82" s="384" t="s">
        <v>6</v>
      </c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210"/>
      <c r="AD82" s="127"/>
      <c r="AE82" s="210"/>
      <c r="AF82" s="127"/>
      <c r="AG82" s="127"/>
      <c r="AH82" s="129"/>
      <c r="AI82" s="127"/>
      <c r="AJ82" s="127"/>
      <c r="AK82" s="127"/>
      <c r="AL82" s="127"/>
      <c r="AM82" s="127"/>
      <c r="AN82" s="127"/>
      <c r="AO82" s="127"/>
      <c r="AP82" s="129"/>
      <c r="AQ82" s="129"/>
      <c r="AR82" s="127"/>
      <c r="AS82" s="127"/>
      <c r="AT82" s="129"/>
      <c r="AU82" s="129"/>
      <c r="AV82" s="127"/>
      <c r="AW82" s="127"/>
      <c r="AX82" s="127"/>
      <c r="AY82" s="129"/>
      <c r="AZ82" s="129"/>
      <c r="BA82" s="127"/>
      <c r="BB82" s="228"/>
      <c r="BC82" s="127"/>
      <c r="BD82" s="127"/>
      <c r="BE82" s="129"/>
      <c r="BF82" s="129"/>
      <c r="BG82" s="41"/>
      <c r="BH82" s="41"/>
      <c r="BI82" s="41"/>
      <c r="BJ82" s="41"/>
      <c r="BK82" s="41"/>
      <c r="BL82" s="41"/>
      <c r="BM82" s="41"/>
      <c r="BN82" s="41"/>
    </row>
    <row r="83" spans="1:66" s="9" customFormat="1" ht="21" collapsed="1" x14ac:dyDescent="0.25">
      <c r="A83" s="140" t="s">
        <v>112</v>
      </c>
      <c r="B83" s="140">
        <v>12500</v>
      </c>
      <c r="C83" s="41"/>
      <c r="D83" s="11"/>
      <c r="E83" s="12" t="s">
        <v>291</v>
      </c>
      <c r="F83" s="13" t="s">
        <v>236</v>
      </c>
      <c r="G83" s="17"/>
      <c r="H83" s="2"/>
      <c r="I83" s="2"/>
      <c r="J83" s="2"/>
      <c r="K83" s="2" t="s">
        <v>6</v>
      </c>
      <c r="L83" s="2" t="s">
        <v>6</v>
      </c>
      <c r="M83" s="2" t="s">
        <v>6</v>
      </c>
      <c r="N83" s="2" t="s">
        <v>6</v>
      </c>
      <c r="O83" s="15" t="s">
        <v>8</v>
      </c>
      <c r="P83" s="159">
        <v>6.99</v>
      </c>
      <c r="Q83" s="352" t="s">
        <v>9</v>
      </c>
      <c r="R83" s="384" t="s">
        <v>6</v>
      </c>
      <c r="S83" s="425" t="s">
        <v>239</v>
      </c>
      <c r="T83" s="204"/>
      <c r="U83" s="193"/>
      <c r="V83" s="205"/>
      <c r="W83" s="127"/>
      <c r="X83" s="127"/>
      <c r="Y83" s="127"/>
      <c r="Z83" s="127"/>
      <c r="AA83" s="127"/>
      <c r="AB83" s="127"/>
      <c r="AC83" s="210"/>
      <c r="AD83" s="127"/>
      <c r="AE83" s="210"/>
      <c r="AF83" s="127"/>
      <c r="AG83" s="127"/>
      <c r="AH83" s="129"/>
      <c r="AI83" s="127"/>
      <c r="AJ83" s="127"/>
      <c r="AK83" s="127"/>
      <c r="AL83" s="127"/>
      <c r="AM83" s="127"/>
      <c r="AN83" s="127"/>
      <c r="AO83" s="127"/>
      <c r="AP83" s="129"/>
      <c r="AQ83" s="129"/>
      <c r="AR83" s="127"/>
      <c r="AS83" s="127"/>
      <c r="AT83" s="129"/>
      <c r="AU83" s="129"/>
      <c r="AV83" s="127"/>
      <c r="AW83" s="127"/>
      <c r="AX83" s="127"/>
      <c r="AY83" s="129"/>
      <c r="AZ83" s="129"/>
      <c r="BA83" s="127"/>
      <c r="BB83" s="228"/>
      <c r="BC83" s="127"/>
      <c r="BD83" s="127"/>
      <c r="BE83" s="129"/>
      <c r="BF83" s="129"/>
      <c r="BG83" s="41"/>
      <c r="BH83" s="41"/>
      <c r="BI83" s="41"/>
      <c r="BJ83" s="41"/>
      <c r="BK83" s="41"/>
      <c r="BL83" s="41"/>
      <c r="BM83" s="41"/>
      <c r="BN83" s="41"/>
    </row>
    <row r="84" spans="1:66" s="317" customFormat="1" ht="21" x14ac:dyDescent="0.25">
      <c r="A84" s="302" t="s">
        <v>304</v>
      </c>
      <c r="B84" s="302" t="s">
        <v>305</v>
      </c>
      <c r="C84" s="312"/>
      <c r="D84" s="303"/>
      <c r="E84" s="304" t="s">
        <v>311</v>
      </c>
      <c r="F84" s="305" t="s">
        <v>77</v>
      </c>
      <c r="G84" s="306"/>
      <c r="H84" s="2"/>
      <c r="I84" s="2"/>
      <c r="J84" s="2"/>
      <c r="K84" s="2" t="s">
        <v>6</v>
      </c>
      <c r="L84" s="2" t="s">
        <v>6</v>
      </c>
      <c r="M84" s="2" t="s">
        <v>6</v>
      </c>
      <c r="N84" s="2" t="s">
        <v>6</v>
      </c>
      <c r="O84" s="307" t="s">
        <v>8</v>
      </c>
      <c r="P84" s="28" t="s">
        <v>8</v>
      </c>
      <c r="Q84" s="353"/>
      <c r="R84" s="403" t="s">
        <v>6</v>
      </c>
      <c r="S84" s="308">
        <f t="shared" ref="S84:S89" si="7">S39/2</f>
        <v>1.98</v>
      </c>
      <c r="T84" s="201"/>
      <c r="U84" s="201"/>
      <c r="V84" s="201"/>
      <c r="W84" s="201"/>
      <c r="X84" s="201"/>
      <c r="Y84" s="201"/>
      <c r="Z84" s="201"/>
      <c r="AA84" s="201"/>
      <c r="AB84" s="201"/>
      <c r="AC84" s="315"/>
      <c r="AD84" s="201"/>
      <c r="AE84" s="315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316"/>
      <c r="BC84" s="201"/>
      <c r="BD84" s="201"/>
      <c r="BE84" s="201"/>
      <c r="BF84" s="201"/>
      <c r="BG84" s="312"/>
      <c r="BH84" s="312"/>
      <c r="BI84" s="312"/>
      <c r="BJ84" s="312"/>
      <c r="BK84" s="312"/>
      <c r="BL84" s="312"/>
      <c r="BM84" s="312"/>
      <c r="BN84" s="312"/>
    </row>
    <row r="85" spans="1:66" s="317" customFormat="1" ht="21" x14ac:dyDescent="0.25">
      <c r="A85" s="302" t="s">
        <v>345</v>
      </c>
      <c r="B85" s="302" t="s">
        <v>341</v>
      </c>
      <c r="C85" s="312"/>
      <c r="D85" s="303"/>
      <c r="E85" s="304" t="s">
        <v>349</v>
      </c>
      <c r="F85" s="305" t="s">
        <v>77</v>
      </c>
      <c r="G85" s="306"/>
      <c r="H85" s="2"/>
      <c r="I85" s="2"/>
      <c r="J85" s="2"/>
      <c r="K85" s="2" t="s">
        <v>6</v>
      </c>
      <c r="L85" s="2" t="s">
        <v>6</v>
      </c>
      <c r="M85" s="2" t="s">
        <v>6</v>
      </c>
      <c r="N85" s="2" t="s">
        <v>6</v>
      </c>
      <c r="O85" s="307" t="s">
        <v>8</v>
      </c>
      <c r="P85" s="28" t="s">
        <v>8</v>
      </c>
      <c r="Q85" s="353"/>
      <c r="R85" s="403" t="s">
        <v>6</v>
      </c>
      <c r="S85" s="308">
        <f t="shared" si="7"/>
        <v>0.99</v>
      </c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316"/>
      <c r="BC85" s="201"/>
      <c r="BD85" s="201"/>
      <c r="BE85" s="201"/>
      <c r="BF85" s="201"/>
      <c r="BG85" s="312"/>
      <c r="BH85" s="312"/>
      <c r="BI85" s="312"/>
      <c r="BJ85" s="312"/>
      <c r="BK85" s="312"/>
      <c r="BL85" s="312"/>
      <c r="BM85" s="312"/>
      <c r="BN85" s="312"/>
    </row>
    <row r="86" spans="1:66" s="317" customFormat="1" ht="21" x14ac:dyDescent="0.25">
      <c r="A86" s="302" t="s">
        <v>346</v>
      </c>
      <c r="B86" s="302" t="s">
        <v>342</v>
      </c>
      <c r="C86" s="312"/>
      <c r="D86" s="303"/>
      <c r="E86" s="304" t="s">
        <v>350</v>
      </c>
      <c r="F86" s="305" t="s">
        <v>77</v>
      </c>
      <c r="G86" s="421"/>
      <c r="H86" s="2"/>
      <c r="I86" s="2"/>
      <c r="J86" s="2"/>
      <c r="K86" s="2" t="s">
        <v>6</v>
      </c>
      <c r="L86" s="2" t="s">
        <v>6</v>
      </c>
      <c r="M86" s="2" t="s">
        <v>6</v>
      </c>
      <c r="N86" s="2" t="s">
        <v>6</v>
      </c>
      <c r="O86" s="307" t="s">
        <v>8</v>
      </c>
      <c r="P86" s="28" t="s">
        <v>8</v>
      </c>
      <c r="Q86" s="353"/>
      <c r="R86" s="404" t="s">
        <v>6</v>
      </c>
      <c r="S86" s="308">
        <f t="shared" si="7"/>
        <v>0.99</v>
      </c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316"/>
      <c r="BC86" s="201"/>
      <c r="BD86" s="201"/>
      <c r="BE86" s="201"/>
      <c r="BF86" s="201"/>
      <c r="BG86" s="312"/>
      <c r="BH86" s="312"/>
      <c r="BI86" s="312"/>
      <c r="BJ86" s="312"/>
      <c r="BK86" s="312"/>
      <c r="BL86" s="312"/>
      <c r="BM86" s="312"/>
      <c r="BN86" s="312"/>
    </row>
    <row r="87" spans="1:66" s="317" customFormat="1" ht="21" x14ac:dyDescent="0.25">
      <c r="A87" s="302" t="s">
        <v>347</v>
      </c>
      <c r="B87" s="302" t="s">
        <v>343</v>
      </c>
      <c r="C87" s="312"/>
      <c r="D87" s="303"/>
      <c r="E87" s="304" t="s">
        <v>351</v>
      </c>
      <c r="F87" s="305" t="s">
        <v>77</v>
      </c>
      <c r="G87" s="306"/>
      <c r="H87" s="2"/>
      <c r="I87" s="2"/>
      <c r="J87" s="2"/>
      <c r="K87" s="2" t="s">
        <v>6</v>
      </c>
      <c r="L87" s="2" t="s">
        <v>6</v>
      </c>
      <c r="M87" s="2" t="s">
        <v>6</v>
      </c>
      <c r="N87" s="2" t="s">
        <v>6</v>
      </c>
      <c r="O87" s="307" t="s">
        <v>8</v>
      </c>
      <c r="P87" s="28" t="s">
        <v>8</v>
      </c>
      <c r="Q87" s="353"/>
      <c r="R87" s="403" t="s">
        <v>6</v>
      </c>
      <c r="S87" s="308">
        <f t="shared" si="7"/>
        <v>0.99</v>
      </c>
      <c r="T87" s="309"/>
      <c r="U87" s="310"/>
      <c r="V87" s="311"/>
      <c r="W87" s="310"/>
      <c r="X87" s="128"/>
      <c r="Y87" s="201"/>
      <c r="Z87" s="201"/>
      <c r="AA87" s="201"/>
      <c r="AB87" s="201"/>
      <c r="AC87" s="315"/>
      <c r="AD87" s="201"/>
      <c r="AE87" s="315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316"/>
      <c r="BC87" s="201"/>
      <c r="BD87" s="201"/>
      <c r="BE87" s="201"/>
      <c r="BF87" s="201"/>
      <c r="BG87" s="312"/>
      <c r="BH87" s="312"/>
      <c r="BI87" s="312"/>
      <c r="BJ87" s="312"/>
      <c r="BK87" s="312"/>
      <c r="BL87" s="312"/>
      <c r="BM87" s="312"/>
      <c r="BN87" s="312"/>
    </row>
    <row r="88" spans="1:66" s="317" customFormat="1" ht="21" x14ac:dyDescent="0.25">
      <c r="A88" s="302" t="s">
        <v>348</v>
      </c>
      <c r="B88" s="302" t="s">
        <v>344</v>
      </c>
      <c r="C88" s="312"/>
      <c r="D88" s="303"/>
      <c r="E88" s="304" t="s">
        <v>352</v>
      </c>
      <c r="F88" s="305" t="s">
        <v>77</v>
      </c>
      <c r="G88" s="306"/>
      <c r="H88" s="2"/>
      <c r="I88" s="2"/>
      <c r="J88" s="2"/>
      <c r="K88" s="2" t="s">
        <v>6</v>
      </c>
      <c r="L88" s="2" t="s">
        <v>6</v>
      </c>
      <c r="M88" s="2" t="s">
        <v>6</v>
      </c>
      <c r="N88" s="2" t="s">
        <v>6</v>
      </c>
      <c r="O88" s="307" t="s">
        <v>8</v>
      </c>
      <c r="P88" s="28" t="s">
        <v>8</v>
      </c>
      <c r="Q88" s="353"/>
      <c r="R88" s="403" t="s">
        <v>6</v>
      </c>
      <c r="S88" s="308">
        <f t="shared" si="7"/>
        <v>0.99</v>
      </c>
      <c r="T88" s="309"/>
      <c r="U88" s="310"/>
      <c r="V88" s="311"/>
      <c r="W88" s="310"/>
      <c r="X88" s="128"/>
      <c r="Y88" s="201"/>
      <c r="Z88" s="201"/>
      <c r="AA88" s="201"/>
      <c r="AB88" s="201"/>
      <c r="AC88" s="315"/>
      <c r="AD88" s="201"/>
      <c r="AE88" s="315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316"/>
      <c r="BC88" s="201"/>
      <c r="BD88" s="201"/>
      <c r="BE88" s="201"/>
      <c r="BF88" s="201"/>
      <c r="BG88" s="312"/>
      <c r="BH88" s="312"/>
      <c r="BI88" s="312"/>
      <c r="BJ88" s="312"/>
      <c r="BK88" s="312"/>
      <c r="BL88" s="312"/>
      <c r="BM88" s="312"/>
      <c r="BN88" s="312"/>
    </row>
    <row r="89" spans="1:66" s="317" customFormat="1" ht="21" x14ac:dyDescent="0.25">
      <c r="A89" s="302" t="s">
        <v>320</v>
      </c>
      <c r="B89" s="302">
        <v>82500</v>
      </c>
      <c r="C89" s="312"/>
      <c r="D89" s="303"/>
      <c r="E89" s="418" t="s">
        <v>321</v>
      </c>
      <c r="F89" s="305" t="s">
        <v>77</v>
      </c>
      <c r="G89" s="421"/>
      <c r="H89" s="2"/>
      <c r="I89" s="2"/>
      <c r="J89" s="2"/>
      <c r="K89" s="2" t="s">
        <v>6</v>
      </c>
      <c r="L89" s="2" t="s">
        <v>6</v>
      </c>
      <c r="M89" s="2" t="s">
        <v>6</v>
      </c>
      <c r="N89" s="2" t="s">
        <v>6</v>
      </c>
      <c r="O89" s="307" t="s">
        <v>8</v>
      </c>
      <c r="P89" s="28" t="s">
        <v>8</v>
      </c>
      <c r="Q89" s="353"/>
      <c r="R89" s="404" t="s">
        <v>6</v>
      </c>
      <c r="S89" s="308">
        <f t="shared" si="7"/>
        <v>0.495</v>
      </c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316"/>
      <c r="BC89" s="201"/>
      <c r="BD89" s="201"/>
      <c r="BE89" s="201"/>
      <c r="BF89" s="201"/>
      <c r="BG89" s="312"/>
      <c r="BH89" s="312"/>
      <c r="BI89" s="312"/>
      <c r="BJ89" s="312"/>
      <c r="BK89" s="312"/>
      <c r="BL89" s="312"/>
      <c r="BM89" s="312"/>
      <c r="BN89" s="312"/>
    </row>
    <row r="90" spans="1:66" s="10" customFormat="1" ht="21" x14ac:dyDescent="0.3">
      <c r="A90" s="140" t="s">
        <v>116</v>
      </c>
      <c r="B90" s="140">
        <v>27500</v>
      </c>
      <c r="C90" s="46"/>
      <c r="D90" s="11"/>
      <c r="E90" s="12" t="s">
        <v>145</v>
      </c>
      <c r="F90" s="13" t="s">
        <v>111</v>
      </c>
      <c r="G90" s="2" t="s">
        <v>6</v>
      </c>
      <c r="H90" s="2" t="s">
        <v>6</v>
      </c>
      <c r="I90" s="2" t="s">
        <v>6</v>
      </c>
      <c r="J90" s="2" t="s">
        <v>6</v>
      </c>
      <c r="K90" s="2" t="s">
        <v>6</v>
      </c>
      <c r="L90" s="2" t="s">
        <v>6</v>
      </c>
      <c r="M90" s="2" t="s">
        <v>6</v>
      </c>
      <c r="N90" s="2" t="s">
        <v>6</v>
      </c>
      <c r="O90" s="20" t="s">
        <v>8</v>
      </c>
      <c r="P90" s="28" t="s">
        <v>8</v>
      </c>
      <c r="Q90" s="353"/>
      <c r="R90" s="384" t="s">
        <v>6</v>
      </c>
      <c r="S90" s="128"/>
      <c r="T90" s="33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201"/>
      <c r="AQ90" s="201"/>
      <c r="AR90" s="128"/>
      <c r="AS90" s="128"/>
      <c r="AT90" s="201"/>
      <c r="AU90" s="201"/>
      <c r="AV90" s="128"/>
      <c r="AW90" s="128"/>
      <c r="AX90" s="128"/>
      <c r="AY90" s="201"/>
      <c r="AZ90" s="201"/>
      <c r="BA90" s="128"/>
      <c r="BB90" s="230"/>
      <c r="BC90" s="128"/>
      <c r="BD90" s="128"/>
      <c r="BE90" s="201"/>
      <c r="BF90" s="201"/>
      <c r="BG90" s="46"/>
      <c r="BH90" s="46"/>
      <c r="BI90" s="46"/>
      <c r="BJ90" s="46"/>
      <c r="BK90" s="46"/>
      <c r="BL90" s="46"/>
      <c r="BM90" s="46"/>
      <c r="BN90" s="46"/>
    </row>
    <row r="91" spans="1:66" s="10" customFormat="1" ht="21" x14ac:dyDescent="0.3">
      <c r="A91" s="140" t="s">
        <v>295</v>
      </c>
      <c r="B91" s="140" t="s">
        <v>296</v>
      </c>
      <c r="C91" s="46"/>
      <c r="D91" s="11"/>
      <c r="E91" s="12" t="s">
        <v>300</v>
      </c>
      <c r="F91" s="13" t="s">
        <v>111</v>
      </c>
      <c r="G91" s="2" t="s">
        <v>6</v>
      </c>
      <c r="H91" s="2" t="s">
        <v>6</v>
      </c>
      <c r="I91" s="2" t="s">
        <v>6</v>
      </c>
      <c r="J91" s="2" t="s">
        <v>6</v>
      </c>
      <c r="K91" s="2" t="s">
        <v>6</v>
      </c>
      <c r="L91" s="2" t="s">
        <v>6</v>
      </c>
      <c r="M91" s="2" t="s">
        <v>6</v>
      </c>
      <c r="N91" s="2" t="s">
        <v>6</v>
      </c>
      <c r="O91" s="20" t="s">
        <v>8</v>
      </c>
      <c r="P91" s="28" t="s">
        <v>8</v>
      </c>
      <c r="Q91" s="353"/>
      <c r="R91" s="384" t="s">
        <v>6</v>
      </c>
      <c r="S91" s="128"/>
      <c r="T91" s="33"/>
      <c r="U91" s="128"/>
      <c r="V91" s="128"/>
      <c r="W91" s="128"/>
      <c r="X91" s="128"/>
      <c r="Y91" s="128"/>
      <c r="Z91" s="128"/>
      <c r="AA91" s="128"/>
      <c r="AB91" s="128"/>
      <c r="AC91" s="212"/>
      <c r="AD91" s="128"/>
      <c r="AE91" s="212"/>
      <c r="AF91" s="128"/>
      <c r="AG91" s="128"/>
      <c r="AH91" s="201"/>
      <c r="AI91" s="128"/>
      <c r="AJ91" s="128"/>
      <c r="AK91" s="128"/>
      <c r="AL91" s="128"/>
      <c r="AM91" s="128"/>
      <c r="AN91" s="128"/>
      <c r="AO91" s="128"/>
      <c r="AP91" s="201"/>
      <c r="AQ91" s="201"/>
      <c r="AR91" s="128"/>
      <c r="AS91" s="128"/>
      <c r="AT91" s="201"/>
      <c r="AU91" s="201"/>
      <c r="AV91" s="128"/>
      <c r="AW91" s="128"/>
      <c r="AX91" s="128"/>
      <c r="AY91" s="201"/>
      <c r="AZ91" s="201"/>
      <c r="BA91" s="128"/>
      <c r="BB91" s="230"/>
      <c r="BC91" s="128"/>
      <c r="BD91" s="128"/>
      <c r="BE91" s="201"/>
      <c r="BF91" s="201"/>
      <c r="BG91" s="46"/>
      <c r="BH91" s="46"/>
      <c r="BI91" s="46"/>
      <c r="BJ91" s="46"/>
      <c r="BK91" s="46"/>
      <c r="BL91" s="46"/>
      <c r="BM91" s="46"/>
      <c r="BN91" s="46"/>
    </row>
    <row r="92" spans="1:66" s="10" customFormat="1" ht="21" x14ac:dyDescent="0.3">
      <c r="A92" s="140" t="s">
        <v>380</v>
      </c>
      <c r="B92" s="140">
        <v>115000</v>
      </c>
      <c r="C92" s="46"/>
      <c r="D92" s="11"/>
      <c r="E92" s="12" t="s">
        <v>379</v>
      </c>
      <c r="F92" s="13" t="s">
        <v>111</v>
      </c>
      <c r="G92" s="2" t="s">
        <v>6</v>
      </c>
      <c r="H92" s="2" t="s">
        <v>6</v>
      </c>
      <c r="I92" s="2" t="s">
        <v>6</v>
      </c>
      <c r="J92" s="2" t="s">
        <v>6</v>
      </c>
      <c r="K92" s="2" t="s">
        <v>6</v>
      </c>
      <c r="L92" s="2" t="s">
        <v>6</v>
      </c>
      <c r="M92" s="2" t="s">
        <v>6</v>
      </c>
      <c r="N92" s="2" t="s">
        <v>6</v>
      </c>
      <c r="O92" s="20" t="s">
        <v>8</v>
      </c>
      <c r="P92" s="28" t="s">
        <v>8</v>
      </c>
      <c r="Q92" s="353"/>
      <c r="R92" s="384"/>
      <c r="S92" s="128"/>
      <c r="T92" s="33"/>
      <c r="U92" s="128"/>
      <c r="V92" s="128"/>
      <c r="W92" s="128"/>
      <c r="X92" s="128"/>
      <c r="Y92" s="128"/>
      <c r="Z92" s="128"/>
      <c r="AA92" s="128"/>
      <c r="AB92" s="128"/>
      <c r="AC92" s="212"/>
      <c r="AD92" s="128"/>
      <c r="AE92" s="212"/>
      <c r="AF92" s="128"/>
      <c r="AG92" s="128"/>
      <c r="AH92" s="201"/>
      <c r="AI92" s="128"/>
      <c r="AJ92" s="128"/>
      <c r="AK92" s="128"/>
      <c r="AL92" s="128"/>
      <c r="AM92" s="128"/>
      <c r="AN92" s="128"/>
      <c r="AO92" s="128"/>
      <c r="AP92" s="201"/>
      <c r="AQ92" s="201"/>
      <c r="AR92" s="128"/>
      <c r="AS92" s="128"/>
      <c r="AT92" s="201"/>
      <c r="AU92" s="201"/>
      <c r="AV92" s="128"/>
      <c r="AW92" s="128"/>
      <c r="AX92" s="128"/>
      <c r="AY92" s="201"/>
      <c r="AZ92" s="201"/>
      <c r="BA92" s="128"/>
      <c r="BB92" s="230"/>
      <c r="BC92" s="128"/>
      <c r="BD92" s="128"/>
      <c r="BE92" s="201"/>
      <c r="BF92" s="201"/>
      <c r="BG92" s="46"/>
      <c r="BH92" s="46"/>
      <c r="BI92" s="46"/>
      <c r="BJ92" s="46"/>
      <c r="BK92" s="46"/>
      <c r="BL92" s="46"/>
      <c r="BM92" s="46"/>
      <c r="BN92" s="46"/>
    </row>
    <row r="93" spans="1:66" ht="21" x14ac:dyDescent="0.3">
      <c r="A93" s="140" t="s">
        <v>353</v>
      </c>
      <c r="B93" s="140" t="s">
        <v>354</v>
      </c>
      <c r="D93" s="101"/>
      <c r="E93" s="423" t="s">
        <v>355</v>
      </c>
      <c r="F93" s="103" t="s">
        <v>356</v>
      </c>
      <c r="G93" s="422" t="s">
        <v>6</v>
      </c>
      <c r="H93" s="422" t="s">
        <v>6</v>
      </c>
      <c r="I93" s="422" t="s">
        <v>6</v>
      </c>
      <c r="J93" s="422" t="s">
        <v>6</v>
      </c>
      <c r="K93" s="422" t="s">
        <v>6</v>
      </c>
      <c r="L93" s="422" t="s">
        <v>6</v>
      </c>
      <c r="M93" s="422" t="s">
        <v>6</v>
      </c>
      <c r="N93" s="422" t="s">
        <v>6</v>
      </c>
      <c r="O93" s="419" t="s">
        <v>8</v>
      </c>
      <c r="P93" s="420" t="s">
        <v>8</v>
      </c>
      <c r="Q93" s="414"/>
      <c r="R93" s="404" t="s">
        <v>6</v>
      </c>
    </row>
    <row r="94" spans="1:66" ht="21" x14ac:dyDescent="0.3">
      <c r="A94" s="140" t="s">
        <v>277</v>
      </c>
      <c r="B94" s="140">
        <v>60000</v>
      </c>
      <c r="D94" s="101"/>
      <c r="E94" s="423" t="s">
        <v>290</v>
      </c>
      <c r="F94" s="103" t="s">
        <v>278</v>
      </c>
      <c r="G94" s="422" t="s">
        <v>6</v>
      </c>
      <c r="H94" s="422" t="s">
        <v>6</v>
      </c>
      <c r="I94" s="422" t="s">
        <v>6</v>
      </c>
      <c r="J94" s="422" t="s">
        <v>6</v>
      </c>
      <c r="K94" s="422" t="s">
        <v>6</v>
      </c>
      <c r="L94" s="422" t="s">
        <v>6</v>
      </c>
      <c r="M94" s="422" t="s">
        <v>6</v>
      </c>
      <c r="N94" s="422" t="s">
        <v>6</v>
      </c>
      <c r="O94" s="419" t="s">
        <v>8</v>
      </c>
      <c r="P94" s="420" t="s">
        <v>8</v>
      </c>
      <c r="Q94" s="414" t="s">
        <v>279</v>
      </c>
      <c r="R94" s="404" t="s">
        <v>6</v>
      </c>
    </row>
    <row r="95" spans="1:66" ht="21.75" collapsed="1" thickBot="1" x14ac:dyDescent="0.35">
      <c r="A95" s="134" t="s">
        <v>312</v>
      </c>
      <c r="B95" s="134">
        <v>80000</v>
      </c>
      <c r="D95" s="101"/>
      <c r="E95" s="423" t="s">
        <v>319</v>
      </c>
      <c r="F95" s="103" t="s">
        <v>334</v>
      </c>
      <c r="G95" s="422"/>
      <c r="H95" s="422" t="s">
        <v>6</v>
      </c>
      <c r="I95" s="422" t="s">
        <v>6</v>
      </c>
      <c r="J95" s="422"/>
      <c r="K95" s="422" t="s">
        <v>6</v>
      </c>
      <c r="L95" s="422" t="s">
        <v>6</v>
      </c>
      <c r="M95" s="422" t="s">
        <v>6</v>
      </c>
      <c r="N95" s="422" t="s">
        <v>6</v>
      </c>
      <c r="O95" s="419" t="s">
        <v>8</v>
      </c>
      <c r="P95" s="420" t="s">
        <v>8</v>
      </c>
      <c r="Q95" s="414"/>
      <c r="R95" s="384" t="s">
        <v>6</v>
      </c>
    </row>
    <row r="96" spans="1:66" s="9" customFormat="1" ht="21" hidden="1" outlineLevel="1" x14ac:dyDescent="0.3">
      <c r="A96" s="135" t="s">
        <v>16</v>
      </c>
      <c r="B96" s="135" t="s">
        <v>16</v>
      </c>
      <c r="C96" s="41"/>
      <c r="D96" s="21"/>
      <c r="E96" s="35"/>
      <c r="F96" s="22"/>
      <c r="G96" s="23"/>
      <c r="H96" s="4"/>
      <c r="I96" s="4"/>
      <c r="J96" s="4"/>
      <c r="K96" s="4"/>
      <c r="L96" s="4"/>
      <c r="M96" s="4"/>
      <c r="N96" s="4"/>
      <c r="O96" s="24" t="s">
        <v>8</v>
      </c>
      <c r="P96" s="25"/>
      <c r="Q96" s="354" t="s">
        <v>9</v>
      </c>
      <c r="R96" s="384" t="s">
        <v>6</v>
      </c>
      <c r="S96" s="127"/>
      <c r="T96" s="33"/>
      <c r="U96" s="127"/>
      <c r="V96" s="127"/>
      <c r="W96" s="127"/>
      <c r="X96" s="127"/>
      <c r="Y96" s="127"/>
      <c r="Z96" s="127"/>
      <c r="AA96" s="127"/>
      <c r="AB96" s="127"/>
      <c r="AC96" s="210"/>
      <c r="AD96" s="127"/>
      <c r="AE96" s="210"/>
      <c r="AF96" s="127"/>
      <c r="AG96" s="127"/>
      <c r="AH96" s="129"/>
      <c r="AI96" s="127"/>
      <c r="AJ96" s="127"/>
      <c r="AK96" s="127"/>
      <c r="AL96" s="127"/>
      <c r="AM96" s="127"/>
      <c r="AN96" s="127"/>
      <c r="AO96" s="127"/>
      <c r="AP96" s="129"/>
      <c r="AQ96" s="129"/>
      <c r="AR96" s="127"/>
      <c r="AS96" s="127"/>
      <c r="AT96" s="129"/>
      <c r="AU96" s="129"/>
      <c r="AV96" s="127"/>
      <c r="AW96" s="127"/>
      <c r="AX96" s="127"/>
      <c r="AY96" s="129"/>
      <c r="AZ96" s="129"/>
      <c r="BA96" s="127"/>
      <c r="BB96" s="228"/>
      <c r="BC96" s="127"/>
      <c r="BD96" s="127"/>
      <c r="BE96" s="129"/>
      <c r="BF96" s="129"/>
      <c r="BG96" s="41"/>
      <c r="BH96" s="41"/>
      <c r="BI96" s="41"/>
      <c r="BJ96" s="41"/>
      <c r="BK96" s="41"/>
      <c r="BL96" s="41"/>
      <c r="BM96" s="41"/>
      <c r="BN96" s="41"/>
    </row>
    <row r="97" spans="1:66" ht="21" hidden="1" outlineLevel="1" x14ac:dyDescent="0.3">
      <c r="A97" s="134" t="s">
        <v>16</v>
      </c>
      <c r="B97" s="134" t="s">
        <v>16</v>
      </c>
      <c r="D97" s="21"/>
      <c r="E97" s="35"/>
      <c r="F97" s="22"/>
      <c r="G97" s="23"/>
      <c r="H97" s="4"/>
      <c r="I97" s="4"/>
      <c r="J97" s="4"/>
      <c r="K97" s="4"/>
      <c r="L97" s="4"/>
      <c r="M97" s="4"/>
      <c r="N97" s="4"/>
      <c r="O97" s="24" t="s">
        <v>8</v>
      </c>
      <c r="P97" s="25"/>
      <c r="Q97" s="354" t="s">
        <v>9</v>
      </c>
      <c r="R97" s="384" t="s">
        <v>6</v>
      </c>
    </row>
    <row r="98" spans="1:66" ht="21" hidden="1" outlineLevel="1" x14ac:dyDescent="0.3">
      <c r="A98" s="134" t="s">
        <v>16</v>
      </c>
      <c r="B98" s="134" t="s">
        <v>16</v>
      </c>
      <c r="D98" s="21"/>
      <c r="E98" s="35"/>
      <c r="F98" s="22"/>
      <c r="G98" s="23"/>
      <c r="H98" s="4"/>
      <c r="I98" s="4"/>
      <c r="J98" s="4"/>
      <c r="K98" s="4"/>
      <c r="L98" s="4"/>
      <c r="M98" s="4"/>
      <c r="N98" s="4"/>
      <c r="O98" s="24" t="s">
        <v>8</v>
      </c>
      <c r="P98" s="25"/>
      <c r="Q98" s="354" t="s">
        <v>9</v>
      </c>
      <c r="R98" s="384" t="s">
        <v>6</v>
      </c>
    </row>
    <row r="99" spans="1:66" ht="21" hidden="1" outlineLevel="1" x14ac:dyDescent="0.3">
      <c r="A99" s="134" t="s">
        <v>16</v>
      </c>
      <c r="B99" s="134" t="s">
        <v>16</v>
      </c>
      <c r="D99" s="21"/>
      <c r="E99" s="35"/>
      <c r="F99" s="22"/>
      <c r="G99" s="23"/>
      <c r="H99" s="4"/>
      <c r="I99" s="4"/>
      <c r="J99" s="4"/>
      <c r="K99" s="4"/>
      <c r="L99" s="4"/>
      <c r="M99" s="4"/>
      <c r="N99" s="4"/>
      <c r="O99" s="24" t="s">
        <v>8</v>
      </c>
      <c r="P99" s="25"/>
      <c r="Q99" s="354" t="s">
        <v>9</v>
      </c>
      <c r="R99" s="384" t="s">
        <v>6</v>
      </c>
    </row>
    <row r="100" spans="1:66" ht="21" hidden="1" outlineLevel="1" x14ac:dyDescent="0.3">
      <c r="A100" s="134" t="s">
        <v>16</v>
      </c>
      <c r="B100" s="134" t="s">
        <v>16</v>
      </c>
      <c r="D100" s="21"/>
      <c r="E100" s="35"/>
      <c r="F100" s="22"/>
      <c r="G100" s="23"/>
      <c r="H100" s="4"/>
      <c r="I100" s="4"/>
      <c r="J100" s="4"/>
      <c r="K100" s="4"/>
      <c r="L100" s="4"/>
      <c r="M100" s="4"/>
      <c r="N100" s="4"/>
      <c r="O100" s="24" t="s">
        <v>8</v>
      </c>
      <c r="P100" s="25"/>
      <c r="Q100" s="354" t="s">
        <v>9</v>
      </c>
      <c r="R100" s="384" t="s">
        <v>6</v>
      </c>
    </row>
    <row r="101" spans="1:66" ht="21.75" hidden="1" outlineLevel="1" thickBot="1" x14ac:dyDescent="0.35">
      <c r="A101" s="134" t="s">
        <v>16</v>
      </c>
      <c r="B101" s="134" t="s">
        <v>16</v>
      </c>
      <c r="D101" s="181"/>
      <c r="E101" s="35"/>
      <c r="F101" s="22"/>
      <c r="G101" s="23"/>
      <c r="H101" s="4"/>
      <c r="I101" s="4"/>
      <c r="J101" s="4"/>
      <c r="K101" s="4"/>
      <c r="L101" s="4"/>
      <c r="M101" s="4"/>
      <c r="N101" s="4"/>
      <c r="O101" s="24" t="s">
        <v>8</v>
      </c>
      <c r="P101" s="153"/>
      <c r="Q101" s="360" t="s">
        <v>9</v>
      </c>
      <c r="R101" s="384" t="s">
        <v>6</v>
      </c>
    </row>
    <row r="102" spans="1:66" ht="21" collapsed="1" x14ac:dyDescent="0.3">
      <c r="D102" s="182">
        <f>D50</f>
        <v>0</v>
      </c>
      <c r="E102" s="113" t="s">
        <v>124</v>
      </c>
      <c r="F102" s="114" t="s">
        <v>99</v>
      </c>
      <c r="G102" s="118"/>
      <c r="H102" s="119"/>
      <c r="I102" s="119"/>
      <c r="J102" s="119"/>
      <c r="K102" s="119"/>
      <c r="L102" s="119"/>
      <c r="M102" s="119"/>
      <c r="N102" s="119"/>
      <c r="O102" s="166" t="s">
        <v>8</v>
      </c>
      <c r="P102" s="169">
        <v>9.99</v>
      </c>
      <c r="Q102" s="355" t="s">
        <v>133</v>
      </c>
      <c r="R102" s="384" t="s">
        <v>6</v>
      </c>
      <c r="AE102" s="375" t="s">
        <v>151</v>
      </c>
      <c r="AF102" s="375" t="s">
        <v>102</v>
      </c>
      <c r="AG102" s="375" t="s">
        <v>101</v>
      </c>
      <c r="AH102" s="375" t="s">
        <v>163</v>
      </c>
    </row>
    <row r="103" spans="1:66" s="9" customFormat="1" ht="21" x14ac:dyDescent="0.3">
      <c r="A103" s="135"/>
      <c r="B103" s="135"/>
      <c r="C103" s="41"/>
      <c r="D103" s="183">
        <f>D51</f>
        <v>0</v>
      </c>
      <c r="E103" s="113" t="s">
        <v>84</v>
      </c>
      <c r="F103" s="114" t="s">
        <v>99</v>
      </c>
      <c r="G103" s="118"/>
      <c r="H103" s="119"/>
      <c r="I103" s="119"/>
      <c r="J103" s="119"/>
      <c r="K103" s="119"/>
      <c r="L103" s="119"/>
      <c r="M103" s="119"/>
      <c r="N103" s="119"/>
      <c r="O103" s="166" t="s">
        <v>8</v>
      </c>
      <c r="P103" s="169">
        <v>7.99</v>
      </c>
      <c r="Q103" s="355" t="s">
        <v>133</v>
      </c>
      <c r="R103" s="384" t="s">
        <v>6</v>
      </c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32" t="s">
        <v>112</v>
      </c>
      <c r="AE103" s="335">
        <v>1</v>
      </c>
      <c r="AF103" s="332">
        <f>IF(Tabelle2[[#This Row],[Tag]]=1,VLOOKUP(0,$T$129:$AF$150,13,FALSE)+VLOOKUP(1,$T$129:$AF$150,13,FALSE),"")</f>
        <v>36402</v>
      </c>
      <c r="AG103" s="332">
        <f>IF(Tabelle2[[#This Row],[Tag]]=1,VLOOKUP(0,$T$129:$AK$150,18,FALSE)+VLOOKUP(1,$T$129:$AK$150,18,FALSE),"")</f>
        <v>195</v>
      </c>
      <c r="AH103" s="338">
        <f>IFERROR(Tabelle2[[#This Row],[€]]/Tabelle2[[#This Row],[Backer]],"")</f>
        <v>186.67692307692309</v>
      </c>
      <c r="AI103" s="127"/>
      <c r="AJ103" s="127"/>
      <c r="AK103" s="127"/>
      <c r="AL103" s="127"/>
      <c r="AM103" s="127"/>
      <c r="AN103" s="127"/>
      <c r="AO103" s="127"/>
      <c r="AP103" s="129"/>
      <c r="AQ103" s="129"/>
      <c r="AR103" s="127"/>
      <c r="AS103" s="127"/>
      <c r="AT103" s="129"/>
      <c r="AU103" s="129"/>
      <c r="AV103" s="127"/>
      <c r="AW103" s="127"/>
      <c r="AX103" s="127"/>
      <c r="AY103" s="129"/>
      <c r="AZ103" s="129"/>
      <c r="BA103" s="127"/>
      <c r="BB103" s="228"/>
      <c r="BC103" s="127"/>
      <c r="BD103" s="127"/>
      <c r="BE103" s="129"/>
      <c r="BF103" s="129"/>
      <c r="BG103" s="41"/>
      <c r="BH103" s="41"/>
      <c r="BI103" s="41"/>
      <c r="BJ103" s="41"/>
      <c r="BK103" s="41"/>
      <c r="BL103" s="41"/>
      <c r="BM103" s="41"/>
      <c r="BN103" s="41"/>
    </row>
    <row r="104" spans="1:66" ht="21" x14ac:dyDescent="0.3">
      <c r="D104" s="184">
        <f>D52</f>
        <v>0</v>
      </c>
      <c r="E104" s="113" t="s">
        <v>125</v>
      </c>
      <c r="F104" s="114" t="s">
        <v>99</v>
      </c>
      <c r="G104" s="118"/>
      <c r="H104" s="119"/>
      <c r="I104" s="119"/>
      <c r="J104" s="119"/>
      <c r="K104" s="119"/>
      <c r="L104" s="119"/>
      <c r="M104" s="119"/>
      <c r="N104" s="119"/>
      <c r="O104" s="166" t="s">
        <v>8</v>
      </c>
      <c r="P104" s="169">
        <v>7.99</v>
      </c>
      <c r="Q104" s="355" t="s">
        <v>133</v>
      </c>
      <c r="R104" s="384" t="s">
        <v>6</v>
      </c>
      <c r="AD104" s="374" t="s">
        <v>113</v>
      </c>
      <c r="AE104" s="428">
        <v>21</v>
      </c>
      <c r="AF104" s="429">
        <f t="shared" ref="AF104:AF123" si="8">VLOOKUP(AE104,$T$129:$AF$150,13,FALSE)</f>
        <v>14479</v>
      </c>
      <c r="AG104" s="429">
        <f t="shared" ref="AG104:AG123" si="9">VLOOKUP(AE104,$T$129:$AK$150,18,FALSE)</f>
        <v>70</v>
      </c>
      <c r="AH104" s="430">
        <f>IFERROR(Tabelle2[[#This Row],[€]]/Tabelle2[[#This Row],[Backer]],"")</f>
        <v>206.84285714285716</v>
      </c>
    </row>
    <row r="105" spans="1:66" ht="21" x14ac:dyDescent="0.3">
      <c r="D105" s="183">
        <f>D53</f>
        <v>0</v>
      </c>
      <c r="E105" s="113" t="s">
        <v>85</v>
      </c>
      <c r="F105" s="114" t="s">
        <v>99</v>
      </c>
      <c r="G105" s="118"/>
      <c r="H105" s="119"/>
      <c r="I105" s="119"/>
      <c r="J105" s="119"/>
      <c r="K105" s="119"/>
      <c r="L105" s="119"/>
      <c r="M105" s="119"/>
      <c r="N105" s="119"/>
      <c r="O105" s="166" t="s">
        <v>8</v>
      </c>
      <c r="P105" s="169">
        <v>7.99</v>
      </c>
      <c r="Q105" s="355" t="s">
        <v>133</v>
      </c>
      <c r="R105" s="384" t="s">
        <v>6</v>
      </c>
      <c r="AD105" s="32" t="s">
        <v>115</v>
      </c>
      <c r="AE105" s="335">
        <v>19</v>
      </c>
      <c r="AF105" s="207">
        <f t="shared" si="8"/>
        <v>9196</v>
      </c>
      <c r="AG105" s="207">
        <f t="shared" si="9"/>
        <v>35</v>
      </c>
      <c r="AH105" s="460">
        <f>IFERROR(Tabelle2[[#This Row],[€]]/Tabelle2[[#This Row],[Backer]],"")</f>
        <v>262.74285714285713</v>
      </c>
      <c r="AT105" s="287">
        <v>2.3809523809523808E-2</v>
      </c>
      <c r="AU105" s="287">
        <f>AT105/$AT$124</f>
        <v>3.272727272727273E-2</v>
      </c>
    </row>
    <row r="106" spans="1:66" ht="21" x14ac:dyDescent="0.3">
      <c r="D106" s="183">
        <f>D54</f>
        <v>0</v>
      </c>
      <c r="E106" s="113" t="s">
        <v>86</v>
      </c>
      <c r="F106" s="114" t="s">
        <v>99</v>
      </c>
      <c r="G106" s="118"/>
      <c r="H106" s="119"/>
      <c r="I106" s="119"/>
      <c r="J106" s="119"/>
      <c r="K106" s="119"/>
      <c r="L106" s="119"/>
      <c r="M106" s="119"/>
      <c r="N106" s="119"/>
      <c r="O106" s="166" t="s">
        <v>8</v>
      </c>
      <c r="P106" s="169">
        <v>7.99</v>
      </c>
      <c r="Q106" s="355" t="s">
        <v>133</v>
      </c>
      <c r="R106" s="384" t="s">
        <v>6</v>
      </c>
      <c r="AD106" s="374" t="s">
        <v>257</v>
      </c>
      <c r="AE106" s="335">
        <v>20</v>
      </c>
      <c r="AF106" s="207">
        <f t="shared" si="8"/>
        <v>7692</v>
      </c>
      <c r="AG106" s="207">
        <f t="shared" si="9"/>
        <v>35</v>
      </c>
      <c r="AH106" s="460">
        <f>IFERROR(Tabelle2[[#This Row],[€]]/Tabelle2[[#This Row],[Backer]],"")</f>
        <v>219.77142857142857</v>
      </c>
      <c r="AT106" s="287">
        <v>3.0423280423280422E-2</v>
      </c>
      <c r="AU106" s="287">
        <f t="shared" ref="AU106:AU124" si="10">AT106/$AT$124</f>
        <v>4.1818181818181817E-2</v>
      </c>
    </row>
    <row r="107" spans="1:66" ht="21" x14ac:dyDescent="0.3">
      <c r="D107" s="183">
        <f>D55</f>
        <v>0</v>
      </c>
      <c r="E107" s="113" t="s">
        <v>90</v>
      </c>
      <c r="F107" s="114" t="s">
        <v>99</v>
      </c>
      <c r="G107" s="118"/>
      <c r="H107" s="119"/>
      <c r="I107" s="119"/>
      <c r="J107" s="119"/>
      <c r="K107" s="119"/>
      <c r="L107" s="119"/>
      <c r="M107" s="119"/>
      <c r="N107" s="119"/>
      <c r="O107" s="166" t="s">
        <v>8</v>
      </c>
      <c r="P107" s="169">
        <v>7.99</v>
      </c>
      <c r="Q107" s="355" t="s">
        <v>133</v>
      </c>
      <c r="R107" s="384" t="s">
        <v>6</v>
      </c>
      <c r="AD107" s="32" t="s">
        <v>114</v>
      </c>
      <c r="AE107" s="335">
        <v>17</v>
      </c>
      <c r="AF107" s="332">
        <f t="shared" si="8"/>
        <v>6784</v>
      </c>
      <c r="AG107" s="332">
        <f t="shared" si="9"/>
        <v>43</v>
      </c>
      <c r="AH107" s="338">
        <f>IFERROR(Tabelle2[[#This Row],[€]]/Tabelle2[[#This Row],[Backer]],"")</f>
        <v>157.76744186046511</v>
      </c>
      <c r="AT107" s="287">
        <v>2.2486772486772486E-2</v>
      </c>
      <c r="AU107" s="287">
        <f t="shared" si="10"/>
        <v>3.090909090909091E-2</v>
      </c>
    </row>
    <row r="108" spans="1:66" ht="21" x14ac:dyDescent="0.3">
      <c r="D108" s="184">
        <f>D56</f>
        <v>0</v>
      </c>
      <c r="E108" s="113" t="s">
        <v>91</v>
      </c>
      <c r="F108" s="114" t="s">
        <v>99</v>
      </c>
      <c r="G108" s="118"/>
      <c r="H108" s="119"/>
      <c r="I108" s="119"/>
      <c r="J108" s="119"/>
      <c r="K108" s="119"/>
      <c r="L108" s="119"/>
      <c r="M108" s="119"/>
      <c r="N108" s="119"/>
      <c r="O108" s="166" t="s">
        <v>8</v>
      </c>
      <c r="P108" s="169">
        <f>1.99+2.99</f>
        <v>4.9800000000000004</v>
      </c>
      <c r="Q108" s="355" t="s">
        <v>133</v>
      </c>
      <c r="R108" s="384" t="s">
        <v>6</v>
      </c>
      <c r="AD108" s="374" t="s">
        <v>258</v>
      </c>
      <c r="AE108" s="335">
        <v>2</v>
      </c>
      <c r="AF108" s="332">
        <f t="shared" si="8"/>
        <v>6257</v>
      </c>
      <c r="AG108" s="332">
        <f t="shared" si="9"/>
        <v>38</v>
      </c>
      <c r="AH108" s="338">
        <f>IFERROR(Tabelle2[[#This Row],[€]]/Tabelle2[[#This Row],[Backer]],"")</f>
        <v>164.65789473684211</v>
      </c>
      <c r="AT108" s="288">
        <v>1.3227513227513227E-2</v>
      </c>
      <c r="AU108" s="287">
        <f t="shared" si="10"/>
        <v>1.8181818181818181E-2</v>
      </c>
    </row>
    <row r="109" spans="1:66" s="9" customFormat="1" ht="21" x14ac:dyDescent="0.3">
      <c r="A109" s="134"/>
      <c r="B109" s="134"/>
      <c r="C109" s="41"/>
      <c r="D109" s="183">
        <f>D57</f>
        <v>0</v>
      </c>
      <c r="E109" s="113" t="s">
        <v>80</v>
      </c>
      <c r="F109" s="114" t="s">
        <v>99</v>
      </c>
      <c r="G109" s="118"/>
      <c r="H109" s="119"/>
      <c r="I109" s="119"/>
      <c r="J109" s="119"/>
      <c r="K109" s="119"/>
      <c r="L109" s="119"/>
      <c r="M109" s="119"/>
      <c r="N109" s="119"/>
      <c r="O109" s="166" t="s">
        <v>8</v>
      </c>
      <c r="P109" s="170">
        <v>1.99</v>
      </c>
      <c r="Q109" s="356" t="s">
        <v>133</v>
      </c>
      <c r="R109" s="384" t="s">
        <v>6</v>
      </c>
      <c r="S109" s="127"/>
      <c r="T109" s="127"/>
      <c r="U109" s="127"/>
      <c r="V109" s="127"/>
      <c r="W109" s="127"/>
      <c r="X109" s="127"/>
      <c r="Y109" s="127"/>
      <c r="Z109" s="127"/>
      <c r="AA109" s="127"/>
      <c r="AB109" s="127"/>
      <c r="AC109" s="127"/>
      <c r="AD109" s="32" t="s">
        <v>116</v>
      </c>
      <c r="AE109" s="335">
        <v>18</v>
      </c>
      <c r="AF109" s="332">
        <f t="shared" si="8"/>
        <v>5141</v>
      </c>
      <c r="AG109" s="332">
        <f t="shared" si="9"/>
        <v>27</v>
      </c>
      <c r="AH109" s="338">
        <f>IFERROR(Tabelle2[[#This Row],[€]]/Tabelle2[[#This Row],[Backer]],"")</f>
        <v>190.40740740740742</v>
      </c>
      <c r="AI109" s="33"/>
      <c r="AJ109" s="127"/>
      <c r="AK109" s="127"/>
      <c r="AL109" s="127"/>
      <c r="AM109" s="127"/>
      <c r="AN109" s="127"/>
      <c r="AO109" s="127"/>
      <c r="AP109" s="129"/>
      <c r="AQ109" s="129"/>
      <c r="AR109" s="127"/>
      <c r="AS109" s="127"/>
      <c r="AT109" s="288">
        <v>2.7777777777777776E-2</v>
      </c>
      <c r="AU109" s="287">
        <f t="shared" si="10"/>
        <v>3.8181818181818185E-2</v>
      </c>
      <c r="AV109" s="127"/>
      <c r="AW109" s="127"/>
      <c r="AX109" s="127"/>
      <c r="AY109" s="129"/>
      <c r="AZ109" s="129"/>
      <c r="BA109" s="127"/>
      <c r="BB109" s="228"/>
      <c r="BC109" s="127"/>
      <c r="BD109" s="127"/>
      <c r="BE109" s="129"/>
      <c r="BF109" s="129"/>
      <c r="BG109" s="41"/>
      <c r="BH109" s="41"/>
      <c r="BI109" s="41"/>
      <c r="BJ109" s="41"/>
      <c r="BK109" s="41"/>
      <c r="BL109" s="41"/>
      <c r="BM109" s="41"/>
      <c r="BN109" s="41"/>
    </row>
    <row r="110" spans="1:66" s="9" customFormat="1" ht="21" x14ac:dyDescent="0.3">
      <c r="A110" s="134"/>
      <c r="B110" s="134"/>
      <c r="C110" s="41"/>
      <c r="D110" s="183">
        <f>D61</f>
        <v>0</v>
      </c>
      <c r="E110" s="113" t="s">
        <v>76</v>
      </c>
      <c r="F110" s="114" t="s">
        <v>99</v>
      </c>
      <c r="G110" s="118"/>
      <c r="H110" s="119"/>
      <c r="I110" s="119"/>
      <c r="J110" s="119"/>
      <c r="K110" s="119"/>
      <c r="L110" s="119"/>
      <c r="M110" s="119"/>
      <c r="N110" s="119"/>
      <c r="O110" s="166" t="s">
        <v>8</v>
      </c>
      <c r="P110" s="171">
        <v>1.99</v>
      </c>
      <c r="Q110" s="357" t="s">
        <v>133</v>
      </c>
      <c r="R110" s="384" t="s">
        <v>6</v>
      </c>
      <c r="S110" s="127"/>
      <c r="T110" s="127"/>
      <c r="U110" s="127"/>
      <c r="V110" s="127"/>
      <c r="W110" s="127"/>
      <c r="X110" s="127"/>
      <c r="Y110" s="127"/>
      <c r="Z110" s="127"/>
      <c r="AA110" s="127"/>
      <c r="AB110" s="127"/>
      <c r="AC110" s="127"/>
      <c r="AD110" s="374" t="s">
        <v>259</v>
      </c>
      <c r="AE110" s="335">
        <v>9</v>
      </c>
      <c r="AF110" s="332">
        <f t="shared" si="8"/>
        <v>4505</v>
      </c>
      <c r="AG110" s="332">
        <f t="shared" si="9"/>
        <v>25</v>
      </c>
      <c r="AH110" s="338">
        <f>IFERROR(Tabelle2[[#This Row],[€]]/Tabelle2[[#This Row],[Backer]],"")</f>
        <v>180.2</v>
      </c>
      <c r="AI110" s="127"/>
      <c r="AJ110" s="127"/>
      <c r="AK110" s="127"/>
      <c r="AL110" s="127"/>
      <c r="AM110" s="127"/>
      <c r="AN110" s="127"/>
      <c r="AO110" s="127"/>
      <c r="AP110" s="129"/>
      <c r="AQ110" s="129"/>
      <c r="AR110" s="127"/>
      <c r="AS110" s="127"/>
      <c r="AT110" s="287">
        <v>1.7195767195767195E-2</v>
      </c>
      <c r="AU110" s="287">
        <f t="shared" si="10"/>
        <v>2.3636363636363636E-2</v>
      </c>
      <c r="AV110" s="127"/>
      <c r="AW110" s="127"/>
      <c r="AX110" s="127"/>
      <c r="AY110" s="129"/>
      <c r="AZ110" s="129"/>
      <c r="BA110" s="127"/>
      <c r="BB110" s="228"/>
      <c r="BC110" s="127"/>
      <c r="BD110" s="127"/>
      <c r="BE110" s="129"/>
      <c r="BF110" s="129"/>
      <c r="BG110" s="41"/>
      <c r="BH110" s="41"/>
      <c r="BI110" s="41"/>
      <c r="BJ110" s="41"/>
      <c r="BK110" s="41"/>
      <c r="BL110" s="41"/>
      <c r="BM110" s="41"/>
      <c r="BN110" s="41"/>
    </row>
    <row r="111" spans="1:66" ht="21" x14ac:dyDescent="0.3">
      <c r="D111" s="184">
        <f>D62</f>
        <v>0</v>
      </c>
      <c r="E111" s="113" t="s">
        <v>141</v>
      </c>
      <c r="F111" s="114" t="s">
        <v>87</v>
      </c>
      <c r="G111" s="118"/>
      <c r="H111" s="119"/>
      <c r="I111" s="119"/>
      <c r="J111" s="119"/>
      <c r="K111" s="119"/>
      <c r="L111" s="119"/>
      <c r="M111" s="119"/>
      <c r="N111" s="119"/>
      <c r="O111" s="166" t="s">
        <v>8</v>
      </c>
      <c r="P111" s="169">
        <v>2.99</v>
      </c>
      <c r="Q111" s="355" t="s">
        <v>133</v>
      </c>
      <c r="R111" s="384" t="s">
        <v>6</v>
      </c>
      <c r="AD111" s="32" t="s">
        <v>120</v>
      </c>
      <c r="AE111" s="335">
        <v>10</v>
      </c>
      <c r="AF111" s="332">
        <f t="shared" si="8"/>
        <v>3350</v>
      </c>
      <c r="AG111" s="332">
        <f t="shared" si="9"/>
        <v>19</v>
      </c>
      <c r="AH111" s="338">
        <f>IFERROR(Tabelle2[[#This Row],[€]]/Tabelle2[[#This Row],[Backer]],"")</f>
        <v>176.31578947368422</v>
      </c>
      <c r="AT111" s="287">
        <v>2.7777777777777776E-2</v>
      </c>
      <c r="AU111" s="287">
        <f t="shared" si="10"/>
        <v>3.8181818181818185E-2</v>
      </c>
    </row>
    <row r="112" spans="1:66" ht="21" x14ac:dyDescent="0.3">
      <c r="D112" s="184">
        <f>D67</f>
        <v>0</v>
      </c>
      <c r="E112" s="113" t="s">
        <v>96</v>
      </c>
      <c r="F112" s="114" t="s">
        <v>99</v>
      </c>
      <c r="G112" s="118"/>
      <c r="H112" s="119"/>
      <c r="I112" s="119"/>
      <c r="J112" s="119"/>
      <c r="K112" s="119"/>
      <c r="L112" s="119"/>
      <c r="M112" s="119"/>
      <c r="N112" s="119"/>
      <c r="O112" s="166" t="s">
        <v>8</v>
      </c>
      <c r="P112" s="169">
        <f>P107</f>
        <v>7.99</v>
      </c>
      <c r="Q112" s="355" t="s">
        <v>133</v>
      </c>
      <c r="R112" s="384" t="s">
        <v>6</v>
      </c>
      <c r="AD112" s="374" t="s">
        <v>119</v>
      </c>
      <c r="AE112" s="335">
        <v>6</v>
      </c>
      <c r="AF112" s="332">
        <f t="shared" si="8"/>
        <v>3066</v>
      </c>
      <c r="AG112" s="332">
        <f t="shared" si="9"/>
        <v>14</v>
      </c>
      <c r="AH112" s="338">
        <f>IFERROR(Tabelle2[[#This Row],[€]]/Tabelle2[[#This Row],[Backer]],"")</f>
        <v>219</v>
      </c>
      <c r="AT112" s="287">
        <v>2.7777777777777776E-2</v>
      </c>
      <c r="AU112" s="287">
        <f t="shared" si="10"/>
        <v>3.8181818181818185E-2</v>
      </c>
    </row>
    <row r="113" spans="1:66" ht="21.75" thickBot="1" x14ac:dyDescent="0.35">
      <c r="D113" s="185">
        <f>D68</f>
        <v>0</v>
      </c>
      <c r="E113" s="296" t="s">
        <v>97</v>
      </c>
      <c r="F113" s="297" t="s">
        <v>99</v>
      </c>
      <c r="G113" s="298"/>
      <c r="H113" s="299"/>
      <c r="I113" s="299"/>
      <c r="J113" s="299"/>
      <c r="K113" s="299"/>
      <c r="L113" s="299"/>
      <c r="M113" s="299"/>
      <c r="N113" s="299"/>
      <c r="O113" s="300" t="s">
        <v>8</v>
      </c>
      <c r="P113" s="301">
        <f>P103+P109+P108+P105+P106+P110</f>
        <v>32.930000000000007</v>
      </c>
      <c r="Q113" s="361" t="s">
        <v>133</v>
      </c>
      <c r="R113" s="384" t="s">
        <v>6</v>
      </c>
      <c r="AD113" s="32" t="s">
        <v>131</v>
      </c>
      <c r="AE113" s="335">
        <v>16</v>
      </c>
      <c r="AF113" s="332">
        <f t="shared" si="8"/>
        <v>3033</v>
      </c>
      <c r="AG113" s="332">
        <f t="shared" si="9"/>
        <v>17</v>
      </c>
      <c r="AH113" s="338">
        <f>IFERROR(Tabelle2[[#This Row],[€]]/Tabelle2[[#This Row],[Backer]],"")</f>
        <v>178.41176470588235</v>
      </c>
      <c r="AT113" s="289">
        <v>7.9365079365079361E-3</v>
      </c>
      <c r="AU113" s="287">
        <f t="shared" si="10"/>
        <v>1.090909090909091E-2</v>
      </c>
    </row>
    <row r="114" spans="1:66" s="29" customFormat="1" ht="21" thickBot="1" x14ac:dyDescent="0.35">
      <c r="A114" s="136"/>
      <c r="B114" s="136"/>
      <c r="C114" s="48"/>
      <c r="D114" s="109" t="s">
        <v>10</v>
      </c>
      <c r="E114" s="108" t="s">
        <v>18</v>
      </c>
      <c r="F114" s="108"/>
      <c r="G114" s="120">
        <f>G56+SUMIFS($P$11:$P$69,$D$11:$D$69,"x",G$11:G$69,"")</f>
        <v>0</v>
      </c>
      <c r="H114" s="121">
        <f t="shared" ref="H114:N114" si="11">H$10+SUMIFS($O$11:$O$69,$D$11:$D$69,"x",H$11:H$69,"")</f>
        <v>40</v>
      </c>
      <c r="I114" s="121">
        <f t="shared" si="11"/>
        <v>70</v>
      </c>
      <c r="J114" s="121">
        <f t="shared" si="11"/>
        <v>75</v>
      </c>
      <c r="K114" s="123">
        <f t="shared" si="11"/>
        <v>140</v>
      </c>
      <c r="L114" s="123">
        <f t="shared" si="11"/>
        <v>175</v>
      </c>
      <c r="M114" s="123">
        <f t="shared" si="11"/>
        <v>195</v>
      </c>
      <c r="N114" s="122">
        <f t="shared" si="11"/>
        <v>450</v>
      </c>
      <c r="O114" s="344">
        <f>SUM(O11:O69)+SUM(O72:O113)</f>
        <v>989.70000000000084</v>
      </c>
      <c r="P114" s="154">
        <f>SUM(P11:P69)+SUM(P72:P113)</f>
        <v>1310.2250000000008</v>
      </c>
      <c r="Q114" s="362"/>
      <c r="R114" s="405" t="s">
        <v>6</v>
      </c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374" t="s">
        <v>260</v>
      </c>
      <c r="AE114" s="335">
        <v>11</v>
      </c>
      <c r="AF114" s="332">
        <f t="shared" si="8"/>
        <v>3018</v>
      </c>
      <c r="AG114" s="332">
        <f t="shared" si="9"/>
        <v>17</v>
      </c>
      <c r="AH114" s="338">
        <f>IFERROR(Tabelle2[[#This Row],[€]]/Tabelle2[[#This Row],[Backer]],"")</f>
        <v>177.52941176470588</v>
      </c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89"/>
      <c r="AS114" s="189"/>
      <c r="AT114" s="289">
        <v>1.984126984126984E-2</v>
      </c>
      <c r="AU114" s="287">
        <f t="shared" si="10"/>
        <v>2.7272727272727275E-2</v>
      </c>
      <c r="AV114" s="130"/>
      <c r="AW114" s="189"/>
      <c r="AX114" s="189"/>
      <c r="AY114" s="130"/>
      <c r="AZ114" s="130"/>
      <c r="BA114" s="130"/>
      <c r="BB114" s="232"/>
      <c r="BC114" s="130"/>
      <c r="BD114" s="130"/>
      <c r="BE114" s="130"/>
      <c r="BF114" s="130"/>
      <c r="BG114" s="48"/>
      <c r="BH114" s="48"/>
      <c r="BI114" s="48"/>
      <c r="BJ114" s="48"/>
      <c r="BK114" s="48"/>
      <c r="BL114" s="48"/>
      <c r="BM114" s="48"/>
      <c r="BN114" s="48"/>
    </row>
    <row r="115" spans="1:66" s="29" customFormat="1" ht="21" x14ac:dyDescent="0.3">
      <c r="A115" s="136"/>
      <c r="B115" s="136"/>
      <c r="C115" s="48"/>
      <c r="D115" s="54"/>
      <c r="E115" s="84" t="s">
        <v>251</v>
      </c>
      <c r="F115" s="85"/>
      <c r="G115" s="86">
        <f>$K$114-G114</f>
        <v>140</v>
      </c>
      <c r="H115" s="86">
        <f>$K$114-H114</f>
        <v>100</v>
      </c>
      <c r="I115" s="86">
        <f>$K$114-I114</f>
        <v>70</v>
      </c>
      <c r="J115" s="86">
        <f>$K$114-J114</f>
        <v>65</v>
      </c>
      <c r="K115" s="364" t="s">
        <v>11</v>
      </c>
      <c r="L115" s="86">
        <f>$K$114-L114</f>
        <v>-35</v>
      </c>
      <c r="M115" s="87">
        <f>$K$114-M114</f>
        <v>-55</v>
      </c>
      <c r="N115" s="56"/>
      <c r="O115" s="57"/>
      <c r="P115" s="58"/>
      <c r="Q115" s="48"/>
      <c r="R115" s="384" t="s">
        <v>6</v>
      </c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32" t="s">
        <v>146</v>
      </c>
      <c r="AE115" s="335">
        <v>8</v>
      </c>
      <c r="AF115" s="332">
        <f t="shared" si="8"/>
        <v>2814</v>
      </c>
      <c r="AG115" s="332">
        <f t="shared" si="9"/>
        <v>17</v>
      </c>
      <c r="AH115" s="338">
        <f>IFERROR(Tabelle2[[#This Row],[€]]/Tabelle2[[#This Row],[Backer]],"")</f>
        <v>165.52941176470588</v>
      </c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89"/>
      <c r="AS115" s="189"/>
      <c r="AT115" s="289">
        <v>1.984126984126984E-2</v>
      </c>
      <c r="AU115" s="287">
        <f t="shared" si="10"/>
        <v>2.7272727272727275E-2</v>
      </c>
      <c r="AV115" s="130"/>
      <c r="AW115" s="189"/>
      <c r="AX115" s="189"/>
      <c r="AY115" s="130"/>
      <c r="AZ115" s="130"/>
      <c r="BA115" s="130"/>
      <c r="BB115" s="232"/>
      <c r="BC115" s="130"/>
      <c r="BD115" s="130"/>
      <c r="BE115" s="130"/>
      <c r="BF115" s="130"/>
      <c r="BG115" s="48"/>
      <c r="BH115" s="48"/>
      <c r="BI115" s="48"/>
      <c r="BJ115" s="48"/>
      <c r="BK115" s="48"/>
      <c r="BL115" s="48"/>
      <c r="BM115" s="48"/>
      <c r="BN115" s="48"/>
    </row>
    <row r="116" spans="1:66" s="29" customFormat="1" ht="21" x14ac:dyDescent="0.3">
      <c r="A116" s="136"/>
      <c r="B116" s="136"/>
      <c r="C116" s="48"/>
      <c r="D116" s="54"/>
      <c r="E116" s="160" t="s">
        <v>252</v>
      </c>
      <c r="F116" s="161"/>
      <c r="G116" s="162">
        <f>$L$114-G114</f>
        <v>175</v>
      </c>
      <c r="H116" s="162">
        <f>$L$114-H114</f>
        <v>135</v>
      </c>
      <c r="I116" s="162">
        <f>$L$114-I114</f>
        <v>105</v>
      </c>
      <c r="J116" s="162">
        <f>$L$114-J114</f>
        <v>100</v>
      </c>
      <c r="K116" s="162">
        <f>$L$114-K114</f>
        <v>35</v>
      </c>
      <c r="L116" s="365" t="s">
        <v>11</v>
      </c>
      <c r="M116" s="163">
        <f>$L$114-M114</f>
        <v>-20</v>
      </c>
      <c r="N116" s="56"/>
      <c r="O116" s="57"/>
      <c r="P116" s="58"/>
      <c r="Q116" s="48"/>
      <c r="R116" s="384" t="s">
        <v>6</v>
      </c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374" t="s">
        <v>261</v>
      </c>
      <c r="AE116" s="335">
        <v>5</v>
      </c>
      <c r="AF116" s="332">
        <f t="shared" si="8"/>
        <v>2806</v>
      </c>
      <c r="AG116" s="332">
        <f t="shared" si="9"/>
        <v>16</v>
      </c>
      <c r="AH116" s="338">
        <f>IFERROR(Tabelle2[[#This Row],[€]]/Tabelle2[[#This Row],[Backer]],"")</f>
        <v>175.375</v>
      </c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89"/>
      <c r="AS116" s="189"/>
      <c r="AT116" s="289">
        <v>2.2486772486772486E-2</v>
      </c>
      <c r="AU116" s="287">
        <f t="shared" si="10"/>
        <v>3.090909090909091E-2</v>
      </c>
      <c r="AV116" s="130"/>
      <c r="AW116" s="189"/>
      <c r="AX116" s="189"/>
      <c r="AY116" s="130"/>
      <c r="AZ116" s="130"/>
      <c r="BA116" s="130"/>
      <c r="BB116" s="232"/>
      <c r="BC116" s="130"/>
      <c r="BD116" s="130"/>
      <c r="BE116" s="130"/>
      <c r="BF116" s="130"/>
      <c r="BG116" s="48"/>
      <c r="BH116" s="48"/>
      <c r="BI116" s="48"/>
      <c r="BJ116" s="48"/>
      <c r="BK116" s="48"/>
      <c r="BL116" s="48"/>
      <c r="BM116" s="48"/>
      <c r="BN116" s="48"/>
    </row>
    <row r="117" spans="1:66" s="29" customFormat="1" ht="21.75" thickBot="1" x14ac:dyDescent="0.35">
      <c r="A117" s="136"/>
      <c r="B117" s="136"/>
      <c r="C117" s="48"/>
      <c r="D117" s="54"/>
      <c r="E117" s="88" t="s">
        <v>253</v>
      </c>
      <c r="F117" s="89"/>
      <c r="G117" s="90">
        <f>$M$114-G114</f>
        <v>195</v>
      </c>
      <c r="H117" s="90">
        <f t="shared" ref="H117:L117" si="12">$M$114-H114</f>
        <v>155</v>
      </c>
      <c r="I117" s="90">
        <f t="shared" si="12"/>
        <v>125</v>
      </c>
      <c r="J117" s="90">
        <f t="shared" si="12"/>
        <v>120</v>
      </c>
      <c r="K117" s="90">
        <f t="shared" si="12"/>
        <v>55</v>
      </c>
      <c r="L117" s="90">
        <f t="shared" si="12"/>
        <v>20</v>
      </c>
      <c r="M117" s="366" t="s">
        <v>11</v>
      </c>
      <c r="N117" s="56"/>
      <c r="O117" s="57"/>
      <c r="P117" s="58"/>
      <c r="Q117" s="48"/>
      <c r="R117" s="384" t="s">
        <v>6</v>
      </c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32" t="s">
        <v>147</v>
      </c>
      <c r="AE117" s="335">
        <v>13</v>
      </c>
      <c r="AF117" s="332">
        <f t="shared" si="8"/>
        <v>2793</v>
      </c>
      <c r="AG117" s="332">
        <f t="shared" si="9"/>
        <v>15</v>
      </c>
      <c r="AH117" s="338">
        <f>IFERROR(Tabelle2[[#This Row],[€]]/Tabelle2[[#This Row],[Backer]],"")</f>
        <v>186.2</v>
      </c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89"/>
      <c r="AS117" s="189"/>
      <c r="AT117" s="289">
        <v>2.5132275132275131E-2</v>
      </c>
      <c r="AU117" s="287">
        <f t="shared" si="10"/>
        <v>3.4545454545454546E-2</v>
      </c>
      <c r="AV117" s="130"/>
      <c r="AW117" s="189"/>
      <c r="AX117" s="189"/>
      <c r="AY117" s="130"/>
      <c r="AZ117" s="130"/>
      <c r="BA117" s="130"/>
      <c r="BB117" s="232"/>
      <c r="BC117" s="130"/>
      <c r="BD117" s="130"/>
      <c r="BE117" s="130"/>
      <c r="BF117" s="130"/>
      <c r="BG117" s="48"/>
      <c r="BH117" s="48"/>
      <c r="BI117" s="48"/>
      <c r="BJ117" s="48"/>
      <c r="BK117" s="48"/>
      <c r="BL117" s="48"/>
      <c r="BM117" s="48"/>
      <c r="BN117" s="48"/>
    </row>
    <row r="118" spans="1:66" s="48" customFormat="1" ht="21.75" thickBot="1" x14ac:dyDescent="0.35">
      <c r="A118" s="136"/>
      <c r="B118" s="136"/>
      <c r="D118" s="54"/>
      <c r="E118" s="55"/>
      <c r="F118" s="55"/>
      <c r="G118" s="56"/>
      <c r="H118" s="56"/>
      <c r="I118" s="56"/>
      <c r="J118" s="56"/>
      <c r="K118" s="56"/>
      <c r="L118" s="56"/>
      <c r="M118" s="56"/>
      <c r="N118" s="56"/>
      <c r="O118" s="57"/>
      <c r="P118" s="58"/>
      <c r="R118" s="406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374" t="s">
        <v>262</v>
      </c>
      <c r="AE118" s="335">
        <v>4</v>
      </c>
      <c r="AF118" s="332">
        <f t="shared" si="8"/>
        <v>2684</v>
      </c>
      <c r="AG118" s="332">
        <f t="shared" si="9"/>
        <v>16</v>
      </c>
      <c r="AH118" s="338">
        <f>IFERROR(Tabelle2[[#This Row],[€]]/Tabelle2[[#This Row],[Backer]],"")</f>
        <v>167.75</v>
      </c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89"/>
      <c r="AS118" s="189"/>
      <c r="AT118" s="289">
        <v>3.0423280423280422E-2</v>
      </c>
      <c r="AU118" s="287">
        <f t="shared" si="10"/>
        <v>4.1818181818181817E-2</v>
      </c>
      <c r="AV118" s="130"/>
      <c r="AW118" s="189"/>
      <c r="AX118" s="189"/>
      <c r="AY118" s="130"/>
      <c r="AZ118" s="130"/>
      <c r="BA118" s="130"/>
      <c r="BB118" s="232"/>
      <c r="BC118" s="130"/>
      <c r="BD118" s="130"/>
      <c r="BE118" s="130"/>
      <c r="BF118" s="130"/>
    </row>
    <row r="119" spans="1:66" s="29" customFormat="1" x14ac:dyDescent="0.3">
      <c r="A119" s="136"/>
      <c r="B119" s="136"/>
      <c r="C119" s="48"/>
      <c r="D119" s="470" t="s">
        <v>12</v>
      </c>
      <c r="E119" s="91" t="s">
        <v>19</v>
      </c>
      <c r="F119" s="92"/>
      <c r="G119" s="472">
        <f>SUMIF($D$11:$D$113,"x",$P$11:$P$113)</f>
        <v>0</v>
      </c>
      <c r="H119" s="472"/>
      <c r="I119" s="472"/>
      <c r="J119" s="472"/>
      <c r="K119" s="472"/>
      <c r="L119" s="473"/>
      <c r="M119" s="473"/>
      <c r="N119" s="474"/>
      <c r="O119" s="69"/>
      <c r="P119" s="70"/>
      <c r="Q119" s="48"/>
      <c r="R119" s="407" t="s">
        <v>6</v>
      </c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32" t="s">
        <v>263</v>
      </c>
      <c r="AE119" s="335">
        <v>3</v>
      </c>
      <c r="AF119" s="332">
        <f t="shared" si="8"/>
        <v>2614</v>
      </c>
      <c r="AG119" s="332">
        <f t="shared" si="9"/>
        <v>15</v>
      </c>
      <c r="AH119" s="338">
        <f>IFERROR(Tabelle2[[#This Row],[€]]/Tabelle2[[#This Row],[Backer]],"")</f>
        <v>174.26666666666668</v>
      </c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89"/>
      <c r="AS119" s="189"/>
      <c r="AT119" s="290">
        <v>3.439153439153439E-2</v>
      </c>
      <c r="AU119" s="287">
        <f t="shared" si="10"/>
        <v>4.7272727272727272E-2</v>
      </c>
      <c r="AV119" s="130"/>
      <c r="AW119" s="189"/>
      <c r="AX119" s="189"/>
      <c r="AY119" s="130"/>
      <c r="AZ119" s="130"/>
      <c r="BA119" s="130"/>
      <c r="BB119" s="232"/>
      <c r="BC119" s="130"/>
      <c r="BD119" s="130"/>
      <c r="BE119" s="130"/>
      <c r="BF119" s="130"/>
      <c r="BG119" s="48"/>
      <c r="BH119" s="48"/>
      <c r="BI119" s="48"/>
      <c r="BJ119" s="48"/>
      <c r="BK119" s="48"/>
      <c r="BL119" s="48"/>
      <c r="BM119" s="48"/>
      <c r="BN119" s="48"/>
    </row>
    <row r="120" spans="1:66" s="30" customFormat="1" ht="17.25" thickBot="1" x14ac:dyDescent="0.35">
      <c r="A120" s="137"/>
      <c r="B120" s="137"/>
      <c r="C120" s="49"/>
      <c r="D120" s="471"/>
      <c r="E120" s="93" t="s">
        <v>20</v>
      </c>
      <c r="F120" s="94"/>
      <c r="G120" s="95">
        <f t="shared" ref="G120:N120" si="13">$G$119-G114</f>
        <v>0</v>
      </c>
      <c r="H120" s="95">
        <f t="shared" si="13"/>
        <v>-40</v>
      </c>
      <c r="I120" s="95">
        <f t="shared" si="13"/>
        <v>-70</v>
      </c>
      <c r="J120" s="95">
        <f t="shared" si="13"/>
        <v>-75</v>
      </c>
      <c r="K120" s="95">
        <f t="shared" si="13"/>
        <v>-140</v>
      </c>
      <c r="L120" s="95">
        <f t="shared" si="13"/>
        <v>-175</v>
      </c>
      <c r="M120" s="95">
        <f t="shared" si="13"/>
        <v>-195</v>
      </c>
      <c r="N120" s="96">
        <f t="shared" si="13"/>
        <v>-450</v>
      </c>
      <c r="O120" s="71"/>
      <c r="P120" s="72"/>
      <c r="Q120" s="49"/>
      <c r="R120" s="408" t="s">
        <v>6</v>
      </c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374" t="s">
        <v>264</v>
      </c>
      <c r="AE120" s="426">
        <v>7</v>
      </c>
      <c r="AF120" s="332">
        <f t="shared" si="8"/>
        <v>2152</v>
      </c>
      <c r="AG120" s="332">
        <f t="shared" si="9"/>
        <v>14</v>
      </c>
      <c r="AH120" s="427">
        <f>IFERROR(Tabelle2[[#This Row],[€]]/Tabelle2[[#This Row],[Backer]],"")</f>
        <v>153.71428571428572</v>
      </c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281"/>
      <c r="AS120" s="281"/>
      <c r="AT120" s="287">
        <v>3.968253968253968E-2</v>
      </c>
      <c r="AU120" s="287">
        <f t="shared" si="10"/>
        <v>5.454545454545455E-2</v>
      </c>
      <c r="AV120" s="131"/>
      <c r="AW120" s="281"/>
      <c r="AX120" s="281"/>
      <c r="AY120" s="131"/>
      <c r="AZ120" s="131"/>
      <c r="BA120" s="131"/>
      <c r="BB120" s="233"/>
      <c r="BC120" s="131"/>
      <c r="BD120" s="131"/>
      <c r="BE120" s="131"/>
      <c r="BF120" s="131"/>
      <c r="BG120" s="49"/>
      <c r="BH120" s="49"/>
      <c r="BI120" s="49"/>
      <c r="BJ120" s="49"/>
      <c r="BK120" s="49"/>
      <c r="BL120" s="49"/>
      <c r="BM120" s="49"/>
      <c r="BN120" s="49"/>
    </row>
    <row r="121" spans="1:66" s="37" customFormat="1" ht="17.25" thickBot="1" x14ac:dyDescent="0.35">
      <c r="A121" s="134"/>
      <c r="B121" s="134"/>
      <c r="D121" s="60"/>
      <c r="G121" s="36"/>
      <c r="H121" s="36"/>
      <c r="I121" s="36"/>
      <c r="J121" s="36"/>
      <c r="K121" s="36"/>
      <c r="L121" s="36"/>
      <c r="M121" s="36"/>
      <c r="N121" s="36"/>
      <c r="O121" s="39"/>
      <c r="P121" s="40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74" t="s">
        <v>333</v>
      </c>
      <c r="AE121" s="336">
        <v>12</v>
      </c>
      <c r="AF121" s="337">
        <f t="shared" si="8"/>
        <v>1618</v>
      </c>
      <c r="AG121" s="337">
        <f t="shared" si="9"/>
        <v>9</v>
      </c>
      <c r="AH121" s="339">
        <f>IFERROR(Tabelle2[[#This Row],[€]]/Tabelle2[[#This Row],[Backer]],"")</f>
        <v>179.77777777777777</v>
      </c>
      <c r="AI121" s="33"/>
      <c r="AJ121" s="33"/>
      <c r="AK121" s="33"/>
      <c r="AL121" s="33"/>
      <c r="AM121" s="33"/>
      <c r="AN121" s="33"/>
      <c r="AO121" s="33"/>
      <c r="AP121" s="214"/>
      <c r="AQ121" s="214"/>
      <c r="AR121" s="33"/>
      <c r="AS121" s="33"/>
      <c r="AT121" s="290">
        <v>4.7619047619047616E-2</v>
      </c>
      <c r="AU121" s="287">
        <f t="shared" si="10"/>
        <v>6.545454545454546E-2</v>
      </c>
      <c r="AV121" s="33"/>
      <c r="AW121" s="33"/>
      <c r="AX121" s="33"/>
      <c r="AY121" s="214"/>
      <c r="AZ121" s="214"/>
      <c r="BA121" s="33"/>
      <c r="BB121" s="227"/>
      <c r="BC121" s="33"/>
      <c r="BD121" s="33"/>
      <c r="BE121" s="214"/>
      <c r="BF121" s="214"/>
    </row>
    <row r="122" spans="1:66" s="30" customFormat="1" x14ac:dyDescent="0.3">
      <c r="A122" s="137"/>
      <c r="B122" s="137"/>
      <c r="C122" s="49"/>
      <c r="D122" s="475" t="s">
        <v>13</v>
      </c>
      <c r="E122" s="97" t="s">
        <v>21</v>
      </c>
      <c r="F122" s="98"/>
      <c r="G122" s="99">
        <f t="shared" ref="G122:N122" si="14">SUMIFS($P$11:$P$113,$D$11:$D$113,"",G$11:G$113,"µ")</f>
        <v>0</v>
      </c>
      <c r="H122" s="99">
        <f t="shared" si="14"/>
        <v>87.804999999999993</v>
      </c>
      <c r="I122" s="99">
        <f t="shared" si="14"/>
        <v>96.824999999999974</v>
      </c>
      <c r="J122" s="99">
        <f t="shared" si="14"/>
        <v>89.800000000000011</v>
      </c>
      <c r="K122" s="99">
        <f t="shared" si="14"/>
        <v>292.33500000000004</v>
      </c>
      <c r="L122" s="99">
        <f t="shared" si="14"/>
        <v>336.16500000000002</v>
      </c>
      <c r="M122" s="99">
        <f t="shared" si="14"/>
        <v>361.16500000000002</v>
      </c>
      <c r="N122" s="100">
        <f t="shared" si="14"/>
        <v>616.11500000000001</v>
      </c>
      <c r="O122" s="71"/>
      <c r="P122" s="72"/>
      <c r="Q122" s="49"/>
      <c r="R122" s="408" t="s">
        <v>6</v>
      </c>
      <c r="S122" s="131"/>
      <c r="T122" s="131"/>
      <c r="U122" s="131"/>
      <c r="V122" s="131"/>
      <c r="W122" s="131"/>
      <c r="X122" s="131"/>
      <c r="Y122" s="131"/>
      <c r="Z122" s="131"/>
      <c r="AA122" s="131"/>
      <c r="AB122" s="292" t="s">
        <v>228</v>
      </c>
      <c r="AC122" s="292"/>
      <c r="AD122" s="374" t="s">
        <v>277</v>
      </c>
      <c r="AE122" s="336">
        <v>15</v>
      </c>
      <c r="AF122" s="337">
        <f t="shared" si="8"/>
        <v>1605</v>
      </c>
      <c r="AG122" s="337">
        <f t="shared" si="9"/>
        <v>10</v>
      </c>
      <c r="AH122" s="339">
        <f>IFERROR(Tabelle2[[#This Row],[€]]/Tabelle2[[#This Row],[Backer]],"")</f>
        <v>160.5</v>
      </c>
      <c r="AI122" s="292"/>
      <c r="AJ122" s="292"/>
      <c r="AK122" s="292"/>
      <c r="AL122" s="292"/>
      <c r="AM122" s="131"/>
      <c r="AN122" s="131"/>
      <c r="AO122" s="131"/>
      <c r="AP122" s="131"/>
      <c r="AQ122" s="131"/>
      <c r="AR122" s="281"/>
      <c r="AS122" s="281"/>
      <c r="AT122" s="290">
        <v>5.1587301587301584E-2</v>
      </c>
      <c r="AU122" s="287">
        <f t="shared" si="10"/>
        <v>7.0909090909090908E-2</v>
      </c>
      <c r="AV122" s="131"/>
      <c r="AW122" s="281"/>
      <c r="AX122" s="281"/>
      <c r="AY122" s="131"/>
      <c r="AZ122" s="131"/>
      <c r="BA122" s="131"/>
      <c r="BB122" s="233"/>
      <c r="BC122" s="131"/>
      <c r="BD122" s="131"/>
      <c r="BE122" s="131"/>
      <c r="BF122" s="131"/>
      <c r="BG122" s="49"/>
      <c r="BH122" s="49"/>
      <c r="BI122" s="49"/>
      <c r="BJ122" s="49"/>
      <c r="BK122" s="49"/>
      <c r="BL122" s="49"/>
      <c r="BM122" s="49"/>
      <c r="BN122" s="49"/>
    </row>
    <row r="123" spans="1:66" s="30" customFormat="1" ht="17.25" thickBot="1" x14ac:dyDescent="0.35">
      <c r="A123" s="137"/>
      <c r="B123" s="137"/>
      <c r="C123" s="49"/>
      <c r="D123" s="476"/>
      <c r="E123" s="93" t="s">
        <v>56</v>
      </c>
      <c r="F123" s="94"/>
      <c r="G123" s="95">
        <f>$G$119+G122</f>
        <v>0</v>
      </c>
      <c r="H123" s="95">
        <f t="shared" ref="H123:N123" si="15">$G$119+H122</f>
        <v>87.804999999999993</v>
      </c>
      <c r="I123" s="95">
        <f t="shared" si="15"/>
        <v>96.824999999999974</v>
      </c>
      <c r="J123" s="95">
        <f>$G$119+J122-IF(D102="x",P102,0)-IF(D104="x",P104,0)-IF(D111="x",P111,0)</f>
        <v>89.800000000000011</v>
      </c>
      <c r="K123" s="95">
        <f t="shared" si="15"/>
        <v>292.33500000000004</v>
      </c>
      <c r="L123" s="95">
        <f t="shared" ref="L123:M123" si="16">$G$119+L122</f>
        <v>336.16500000000002</v>
      </c>
      <c r="M123" s="95">
        <f t="shared" si="16"/>
        <v>361.16500000000002</v>
      </c>
      <c r="N123" s="96">
        <f t="shared" si="15"/>
        <v>616.11500000000001</v>
      </c>
      <c r="O123" s="71"/>
      <c r="P123" s="72"/>
      <c r="Q123" s="49"/>
      <c r="R123" s="408" t="s">
        <v>6</v>
      </c>
      <c r="S123" s="131"/>
      <c r="T123" s="131"/>
      <c r="U123" s="131"/>
      <c r="V123" s="131"/>
      <c r="W123" s="131"/>
      <c r="X123" s="131"/>
      <c r="Y123" s="131"/>
      <c r="Z123" s="131"/>
      <c r="AA123" s="131" t="s">
        <v>224</v>
      </c>
      <c r="AB123" s="131" t="s">
        <v>224</v>
      </c>
      <c r="AC123" s="131"/>
      <c r="AD123" s="374" t="s">
        <v>286</v>
      </c>
      <c r="AE123" s="336">
        <v>14</v>
      </c>
      <c r="AF123" s="337">
        <f t="shared" si="8"/>
        <v>1332</v>
      </c>
      <c r="AG123" s="337">
        <f t="shared" si="9"/>
        <v>7</v>
      </c>
      <c r="AH123" s="339">
        <f>IFERROR(Tabelle2[[#This Row],[€]]/Tabelle2[[#This Row],[Backer]],"")</f>
        <v>190.28571428571428</v>
      </c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281"/>
      <c r="AS123" s="281"/>
      <c r="AT123" s="290">
        <v>0.23809523809523808</v>
      </c>
      <c r="AU123" s="287">
        <f t="shared" si="10"/>
        <v>0.32727272727272727</v>
      </c>
      <c r="AV123" s="131"/>
      <c r="AW123" s="281"/>
      <c r="AX123" s="281"/>
      <c r="AY123" s="131"/>
      <c r="AZ123" s="131"/>
      <c r="BA123" s="131"/>
      <c r="BB123" s="233"/>
      <c r="BC123" s="131"/>
      <c r="BD123" s="131"/>
      <c r="BE123" s="131"/>
      <c r="BF123" s="131"/>
      <c r="BG123" s="49"/>
      <c r="BH123" s="49"/>
      <c r="BI123" s="49"/>
      <c r="BJ123" s="49"/>
      <c r="BK123" s="49"/>
      <c r="BL123" s="49"/>
      <c r="BM123" s="49"/>
      <c r="BN123" s="49"/>
    </row>
    <row r="124" spans="1:66" s="30" customFormat="1" thickBot="1" x14ac:dyDescent="0.35">
      <c r="A124" s="137"/>
      <c r="B124" s="137"/>
      <c r="C124" s="49"/>
      <c r="D124" s="477"/>
      <c r="E124" s="93" t="s">
        <v>22</v>
      </c>
      <c r="F124" s="94"/>
      <c r="G124" s="95">
        <f t="shared" ref="G124:N124" si="17">G123-G114</f>
        <v>0</v>
      </c>
      <c r="H124" s="95">
        <f t="shared" si="17"/>
        <v>47.804999999999993</v>
      </c>
      <c r="I124" s="95">
        <f t="shared" si="17"/>
        <v>26.824999999999974</v>
      </c>
      <c r="J124" s="95">
        <f t="shared" si="17"/>
        <v>14.800000000000011</v>
      </c>
      <c r="K124" s="95">
        <f t="shared" si="17"/>
        <v>152.33500000000004</v>
      </c>
      <c r="L124" s="95">
        <f t="shared" si="17"/>
        <v>161.16500000000002</v>
      </c>
      <c r="M124" s="95">
        <f t="shared" si="17"/>
        <v>166.16500000000002</v>
      </c>
      <c r="N124" s="96">
        <f t="shared" si="17"/>
        <v>166.11500000000001</v>
      </c>
      <c r="O124" s="71"/>
      <c r="P124" s="72"/>
      <c r="Q124" s="49"/>
      <c r="R124" s="408" t="s">
        <v>6</v>
      </c>
      <c r="S124" s="131"/>
      <c r="T124" s="131"/>
      <c r="U124" s="131"/>
      <c r="V124" s="131"/>
      <c r="W124" s="131"/>
      <c r="X124" s="131"/>
      <c r="Y124" s="131"/>
      <c r="Z124" s="131"/>
      <c r="AA124" s="283">
        <f>AA131+AK132*AM131</f>
        <v>45405.287553648071</v>
      </c>
      <c r="AB124" s="283">
        <f>AB131+AB$150*$BE132</f>
        <v>47746.795707310986</v>
      </c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281"/>
      <c r="AS124" s="281"/>
      <c r="AT124" s="290">
        <f>SUM(AT105:AT123)</f>
        <v>0.72751322751322745</v>
      </c>
      <c r="AU124" s="287">
        <f t="shared" si="10"/>
        <v>1</v>
      </c>
      <c r="AV124" s="131"/>
      <c r="AW124" s="281"/>
      <c r="AX124" s="281"/>
      <c r="AY124" s="131"/>
      <c r="AZ124" s="131"/>
      <c r="BA124" s="131"/>
      <c r="BB124" s="233"/>
      <c r="BC124" s="131"/>
      <c r="BD124" s="131"/>
      <c r="BE124" s="131"/>
      <c r="BF124" s="131"/>
      <c r="BG124" s="49"/>
      <c r="BH124" s="49"/>
      <c r="BI124" s="49"/>
      <c r="BJ124" s="49"/>
      <c r="BK124" s="49"/>
      <c r="BL124" s="49"/>
      <c r="BM124" s="49"/>
      <c r="BN124" s="49"/>
    </row>
    <row r="125" spans="1:66" s="50" customFormat="1" ht="15" x14ac:dyDescent="0.3">
      <c r="A125" s="138"/>
      <c r="B125" s="138"/>
      <c r="D125" s="60"/>
      <c r="G125" s="59"/>
      <c r="H125" s="59"/>
      <c r="I125" s="59"/>
      <c r="J125" s="59"/>
      <c r="K125" s="59"/>
      <c r="L125" s="59"/>
      <c r="M125" s="59"/>
      <c r="N125" s="59"/>
      <c r="O125" s="61"/>
      <c r="P125" s="62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  <c r="AB125" s="132"/>
      <c r="AC125" s="132"/>
      <c r="AD125" s="132"/>
      <c r="AE125" s="132"/>
      <c r="AF125" s="132"/>
      <c r="AG125" s="132"/>
      <c r="AH125" s="216"/>
      <c r="AI125" s="132"/>
      <c r="AJ125" s="132"/>
      <c r="AK125" s="132"/>
      <c r="AL125" s="132"/>
      <c r="AM125" s="132"/>
      <c r="AN125" s="132"/>
      <c r="AO125" s="132"/>
      <c r="AP125" s="216"/>
      <c r="AQ125" s="216"/>
      <c r="AR125" s="132"/>
      <c r="AS125" s="132"/>
      <c r="AT125" s="216"/>
      <c r="AU125" s="216"/>
      <c r="AV125" s="132"/>
      <c r="AW125" s="132"/>
      <c r="AX125" s="132"/>
      <c r="AY125" s="216"/>
      <c r="AZ125" s="216"/>
      <c r="BA125" s="132"/>
      <c r="BB125" s="234"/>
      <c r="BC125" s="132"/>
      <c r="BD125" s="132"/>
      <c r="BE125" s="216"/>
      <c r="BF125" s="216"/>
    </row>
    <row r="126" spans="1:66" s="37" customFormat="1" collapsed="1" x14ac:dyDescent="0.3">
      <c r="A126" s="191"/>
      <c r="B126" s="191"/>
      <c r="C126" s="51"/>
      <c r="G126" s="36"/>
      <c r="H126" s="36"/>
      <c r="I126" s="36"/>
      <c r="J126" s="36"/>
      <c r="K126" s="39"/>
      <c r="L126" s="39"/>
      <c r="M126" s="39"/>
      <c r="N126" s="40"/>
      <c r="O126" s="64"/>
      <c r="P126" s="65"/>
      <c r="Q126" s="53"/>
      <c r="R126" s="410"/>
      <c r="S126" s="33"/>
      <c r="T126" s="132"/>
      <c r="U126" s="132"/>
      <c r="V126" s="132"/>
      <c r="W126" s="132"/>
      <c r="X126" s="132"/>
      <c r="Y126" s="132"/>
      <c r="Z126" s="132"/>
      <c r="AA126" s="218"/>
      <c r="AB126" s="223" t="s">
        <v>221</v>
      </c>
      <c r="AC126" s="220"/>
      <c r="AD126" s="223" t="s">
        <v>221</v>
      </c>
      <c r="AE126" s="222"/>
      <c r="AF126" s="132"/>
      <c r="AG126" s="132"/>
      <c r="AH126" s="216"/>
      <c r="AI126" s="132"/>
      <c r="AJ126" s="132"/>
      <c r="AK126" s="132"/>
      <c r="AL126" s="132"/>
      <c r="AM126" s="132"/>
      <c r="AN126" s="465" t="s">
        <v>169</v>
      </c>
      <c r="AO126" s="466"/>
      <c r="AP126" s="466"/>
      <c r="AQ126" s="467"/>
      <c r="AR126" s="465" t="s">
        <v>171</v>
      </c>
      <c r="AS126" s="466"/>
      <c r="AT126" s="466"/>
      <c r="AU126" s="466"/>
      <c r="AV126" s="466"/>
      <c r="AW126" s="464" t="s">
        <v>170</v>
      </c>
      <c r="AX126" s="464"/>
      <c r="AY126" s="464"/>
      <c r="AZ126" s="464"/>
      <c r="BA126" s="464"/>
      <c r="BB126" s="464" t="s">
        <v>172</v>
      </c>
      <c r="BC126" s="464"/>
      <c r="BD126" s="464"/>
      <c r="BE126" s="33"/>
      <c r="BF126" s="33"/>
    </row>
    <row r="127" spans="1:66" s="37" customFormat="1" x14ac:dyDescent="0.3">
      <c r="A127" s="191"/>
      <c r="B127" s="191"/>
      <c r="C127" s="51"/>
      <c r="D127" s="66" t="s">
        <v>60</v>
      </c>
      <c r="G127" s="36"/>
      <c r="H127" s="36"/>
      <c r="I127" s="36"/>
      <c r="J127" s="36"/>
      <c r="K127" s="39"/>
      <c r="L127" s="39"/>
      <c r="M127" s="39"/>
      <c r="N127" s="40"/>
      <c r="O127" s="64"/>
      <c r="P127" s="65"/>
      <c r="Q127" s="53"/>
      <c r="R127" s="410"/>
      <c r="S127" s="33"/>
      <c r="T127" s="376" t="s">
        <v>151</v>
      </c>
      <c r="U127" s="376" t="s">
        <v>152</v>
      </c>
      <c r="V127" s="376" t="s">
        <v>61</v>
      </c>
      <c r="W127" s="219" t="s">
        <v>154</v>
      </c>
      <c r="X127" s="219" t="s">
        <v>153</v>
      </c>
      <c r="Y127" s="219" t="s">
        <v>155</v>
      </c>
      <c r="Z127" s="219" t="s">
        <v>156</v>
      </c>
      <c r="AA127" s="219" t="s">
        <v>157</v>
      </c>
      <c r="AB127" s="219" t="s">
        <v>158</v>
      </c>
      <c r="AC127" s="220" t="s">
        <v>159</v>
      </c>
      <c r="AD127" s="219" t="s">
        <v>160</v>
      </c>
      <c r="AE127" s="220" t="s">
        <v>159</v>
      </c>
      <c r="AF127" s="219" t="s">
        <v>161</v>
      </c>
      <c r="AG127" s="219" t="s">
        <v>162</v>
      </c>
      <c r="AH127" s="221" t="s">
        <v>163</v>
      </c>
      <c r="AI127" s="219" t="s">
        <v>164</v>
      </c>
      <c r="AJ127" s="219" t="s">
        <v>165</v>
      </c>
      <c r="AK127" s="219" t="s">
        <v>166</v>
      </c>
      <c r="AL127" s="219" t="s">
        <v>168</v>
      </c>
      <c r="AM127" s="219" t="s">
        <v>167</v>
      </c>
      <c r="AN127" s="219" t="s">
        <v>102</v>
      </c>
      <c r="AO127" s="219" t="s">
        <v>222</v>
      </c>
      <c r="AP127" s="221" t="s">
        <v>101</v>
      </c>
      <c r="AQ127" s="221" t="s">
        <v>223</v>
      </c>
      <c r="AR127" s="219" t="s">
        <v>102</v>
      </c>
      <c r="AS127" s="219" t="s">
        <v>222</v>
      </c>
      <c r="AT127" s="221" t="s">
        <v>101</v>
      </c>
      <c r="AU127" s="221" t="s">
        <v>223</v>
      </c>
      <c r="AV127" s="219" t="s">
        <v>174</v>
      </c>
      <c r="AW127" s="219" t="s">
        <v>102</v>
      </c>
      <c r="AX127" s="219" t="s">
        <v>222</v>
      </c>
      <c r="AY127" s="221" t="s">
        <v>101</v>
      </c>
      <c r="AZ127" s="221" t="s">
        <v>223</v>
      </c>
      <c r="BA127" s="219" t="s">
        <v>174</v>
      </c>
      <c r="BB127" s="235" t="s">
        <v>102</v>
      </c>
      <c r="BC127" s="219" t="s">
        <v>173</v>
      </c>
      <c r="BD127" s="219" t="s">
        <v>174</v>
      </c>
      <c r="BE127" s="221" t="s">
        <v>226</v>
      </c>
      <c r="BF127" s="221" t="s">
        <v>227</v>
      </c>
    </row>
    <row r="128" spans="1:66" s="67" customFormat="1" x14ac:dyDescent="0.25">
      <c r="A128" s="209"/>
      <c r="B128" s="209"/>
      <c r="C128" s="52"/>
      <c r="G128" s="67" t="s">
        <v>151</v>
      </c>
      <c r="H128" s="67" t="s">
        <v>61</v>
      </c>
      <c r="I128" s="67" t="s">
        <v>249</v>
      </c>
      <c r="J128" s="340" t="s">
        <v>247</v>
      </c>
      <c r="K128" s="340" t="s">
        <v>248</v>
      </c>
      <c r="L128" s="68" t="s">
        <v>230</v>
      </c>
      <c r="M128" s="346" t="s">
        <v>231</v>
      </c>
      <c r="N128" s="68" t="s">
        <v>136</v>
      </c>
      <c r="O128" s="346" t="s">
        <v>137</v>
      </c>
      <c r="P128" s="68" t="s">
        <v>138</v>
      </c>
      <c r="Q128" s="348" t="s">
        <v>139</v>
      </c>
      <c r="R128" s="411"/>
      <c r="S128" s="208"/>
      <c r="T128" s="321">
        <v>0</v>
      </c>
      <c r="U128" s="322">
        <f>WEEKDAY(V128)</f>
        <v>4</v>
      </c>
      <c r="V128" s="323">
        <v>44216</v>
      </c>
      <c r="W128" s="324">
        <v>0.66666666666666663</v>
      </c>
      <c r="X128" s="325">
        <f t="shared" ref="X128:X150" si="18">V128+W128</f>
        <v>44216.666666666664</v>
      </c>
      <c r="Y128" s="326"/>
      <c r="Z128" s="326"/>
      <c r="AA128" s="327">
        <f>I129</f>
        <v>0</v>
      </c>
      <c r="AB128" s="196"/>
      <c r="AC128" s="328"/>
      <c r="AD128" s="196">
        <f>AC128</f>
        <v>0</v>
      </c>
      <c r="AE128" s="328"/>
      <c r="AF128" s="196"/>
      <c r="AG128" s="294">
        <v>0</v>
      </c>
      <c r="AH128" s="329"/>
      <c r="AI128" s="196"/>
      <c r="AJ128" s="196"/>
      <c r="AK128" s="333"/>
      <c r="AL128" s="295"/>
      <c r="AM128" s="329"/>
      <c r="AN128" s="198">
        <f>AF128/$AA$150</f>
        <v>0</v>
      </c>
      <c r="AO128" s="198">
        <f>AN128</f>
        <v>0</v>
      </c>
      <c r="AP128" s="278">
        <f>AK128/$AG$150</f>
        <v>0</v>
      </c>
      <c r="AQ128" s="278"/>
      <c r="AR128" s="198">
        <f>AI128/$AA$150</f>
        <v>0</v>
      </c>
      <c r="AS128" s="198">
        <f>AR128</f>
        <v>0</v>
      </c>
      <c r="AT128" s="278">
        <f>AN128/$AG$150</f>
        <v>0</v>
      </c>
      <c r="AU128" s="278"/>
      <c r="AV128" s="236"/>
      <c r="AW128" s="200"/>
      <c r="AX128" s="198">
        <f>AW128</f>
        <v>0</v>
      </c>
      <c r="AY128" s="199"/>
      <c r="AZ128" s="278"/>
      <c r="BA128" s="236"/>
      <c r="BB128" s="236"/>
      <c r="BC128" s="198"/>
      <c r="BD128" s="236"/>
      <c r="BE128" s="278"/>
      <c r="BF128" s="278"/>
    </row>
    <row r="129" spans="1:58" s="179" customFormat="1" x14ac:dyDescent="0.3">
      <c r="A129" s="192"/>
      <c r="B129" s="192"/>
      <c r="C129" s="177"/>
      <c r="G129" s="342">
        <v>0</v>
      </c>
      <c r="H129" s="367" t="s">
        <v>23</v>
      </c>
      <c r="I129" s="341">
        <v>0</v>
      </c>
      <c r="J129" s="178">
        <f t="shared" ref="J129:K131" si="19">I129</f>
        <v>0</v>
      </c>
      <c r="K129" s="178">
        <f t="shared" si="19"/>
        <v>0</v>
      </c>
      <c r="L129" s="345">
        <f t="shared" ref="L129:L150" si="20">I129/$I$150</f>
        <v>0</v>
      </c>
      <c r="M129" s="347"/>
      <c r="N129" s="345">
        <f t="shared" ref="N129:N150" si="21">J129/$J$150</f>
        <v>0</v>
      </c>
      <c r="O129" s="347"/>
      <c r="P129" s="345">
        <f t="shared" ref="P129:P150" si="22">K129/$K$150</f>
        <v>0</v>
      </c>
      <c r="Q129" s="349"/>
      <c r="R129" s="412"/>
      <c r="S129" s="193"/>
      <c r="T129" s="321">
        <v>0</v>
      </c>
      <c r="U129" s="322">
        <f>WEEKDAY(V129)</f>
        <v>4</v>
      </c>
      <c r="V129" s="323">
        <v>44216</v>
      </c>
      <c r="W129" s="324">
        <v>0.99998842592592585</v>
      </c>
      <c r="X129" s="325">
        <f t="shared" si="18"/>
        <v>44216.999988425923</v>
      </c>
      <c r="Y129" s="326">
        <f t="shared" ref="Y129:Y150" si="23">X129-$X$128</f>
        <v>0.333321759258979</v>
      </c>
      <c r="Z129" s="326"/>
      <c r="AA129" s="194">
        <v>30289</v>
      </c>
      <c r="AB129" s="196">
        <f>AA129</f>
        <v>30289</v>
      </c>
      <c r="AC129" s="328">
        <f t="shared" ref="AC129:AC150" si="24">AA129-AB129</f>
        <v>0</v>
      </c>
      <c r="AD129" s="196">
        <f>AA129</f>
        <v>30289</v>
      </c>
      <c r="AE129" s="328">
        <f t="shared" ref="AE129:AE150" si="25">AA129-AD129</f>
        <v>0</v>
      </c>
      <c r="AF129" s="196">
        <f>AA129-AA128</f>
        <v>30289</v>
      </c>
      <c r="AG129" s="197">
        <v>158</v>
      </c>
      <c r="AH129" s="329">
        <f t="shared" ref="AH129:AH150" si="26">AA129/AG129</f>
        <v>191.70253164556962</v>
      </c>
      <c r="AI129" s="196">
        <f>AF129/Y129</f>
        <v>90870.155213799109</v>
      </c>
      <c r="AJ129" s="196">
        <f t="shared" ref="AJ129:AJ150" si="27">AA129/Y129</f>
        <v>90870.155213799109</v>
      </c>
      <c r="AK129" s="334">
        <f>AG129-AG128</f>
        <v>158</v>
      </c>
      <c r="AL129" s="295">
        <f>(AF129-AA128)/(AK129-AG128)</f>
        <v>191.70253164556962</v>
      </c>
      <c r="AM129" s="329">
        <f>SUM(AF129)/SUM(AK129)</f>
        <v>191.70253164556962</v>
      </c>
      <c r="AN129" s="198">
        <f>AF129/$AA$150</f>
        <v>0.24557122124840888</v>
      </c>
      <c r="AO129" s="198">
        <f>AO128+AN129</f>
        <v>0.24557122124840888</v>
      </c>
      <c r="AP129" s="278">
        <f>AK129/$AG$150</f>
        <v>0.24159021406727829</v>
      </c>
      <c r="AQ129" s="278">
        <f>AP129</f>
        <v>0.24159021406727829</v>
      </c>
      <c r="AR129" s="198">
        <v>0.20305967479960829</v>
      </c>
      <c r="AS129" s="198">
        <f>AS128+AR129</f>
        <v>0.20305967479960829</v>
      </c>
      <c r="AT129" s="278">
        <v>0.18386243386243387</v>
      </c>
      <c r="AU129" s="278">
        <f>AT129</f>
        <v>0.18386243386243387</v>
      </c>
      <c r="AV129" s="236"/>
      <c r="AW129" s="198">
        <v>0.20659234902558346</v>
      </c>
      <c r="AX129" s="198">
        <f>AX128+AW129</f>
        <v>0.20659234902558346</v>
      </c>
      <c r="AY129" s="278">
        <v>0.1729106628242075</v>
      </c>
      <c r="AZ129" s="278"/>
      <c r="BA129" s="236"/>
      <c r="BB129" s="236"/>
      <c r="BC129" s="198"/>
      <c r="BD129" s="236"/>
      <c r="BE129" s="278">
        <f>AVERAGE(AR129,AW129)</f>
        <v>0.20482601191259586</v>
      </c>
      <c r="BF129" s="278">
        <f>AVERAGE(AT129,AY129)</f>
        <v>0.17838654834332068</v>
      </c>
    </row>
    <row r="130" spans="1:58" s="179" customFormat="1" x14ac:dyDescent="0.3">
      <c r="A130" s="192"/>
      <c r="B130" s="192"/>
      <c r="C130" s="177"/>
      <c r="G130" s="342">
        <v>1</v>
      </c>
      <c r="H130" s="367" t="s">
        <v>24</v>
      </c>
      <c r="I130" s="462">
        <v>36402</v>
      </c>
      <c r="J130" s="463">
        <f t="shared" si="19"/>
        <v>36402</v>
      </c>
      <c r="K130" s="463">
        <f t="shared" si="19"/>
        <v>36402</v>
      </c>
      <c r="L130" s="345">
        <f t="shared" si="20"/>
        <v>0.29513300524561986</v>
      </c>
      <c r="M130" s="347">
        <f t="shared" ref="M130:M150" si="28">L130-L129</f>
        <v>0.29513300524561986</v>
      </c>
      <c r="N130" s="345">
        <f t="shared" si="21"/>
        <v>0.28444173562437003</v>
      </c>
      <c r="O130" s="347">
        <f t="shared" ref="O130:O150" si="29">N130-N129</f>
        <v>0.28444173562437003</v>
      </c>
      <c r="P130" s="345">
        <f t="shared" si="22"/>
        <v>0.21333130171827749</v>
      </c>
      <c r="Q130" s="349">
        <f t="shared" ref="Q130:Q150" si="30">P130-P129</f>
        <v>0.21333130171827749</v>
      </c>
      <c r="R130" s="412"/>
      <c r="S130" s="193" t="s">
        <v>149</v>
      </c>
      <c r="T130" s="330">
        <v>1</v>
      </c>
      <c r="U130" s="322" t="s">
        <v>59</v>
      </c>
      <c r="V130" s="323">
        <f>V128+1</f>
        <v>44217</v>
      </c>
      <c r="W130" s="324">
        <v>0.66666666666666663</v>
      </c>
      <c r="X130" s="325">
        <f t="shared" si="18"/>
        <v>44217.666666666664</v>
      </c>
      <c r="Y130" s="326">
        <f t="shared" si="23"/>
        <v>1</v>
      </c>
      <c r="Z130" s="326">
        <f>Y130-Y128</f>
        <v>1</v>
      </c>
      <c r="AA130" s="194">
        <f>I130</f>
        <v>36402</v>
      </c>
      <c r="AB130" s="196">
        <f>AA130</f>
        <v>36402</v>
      </c>
      <c r="AC130" s="328">
        <f t="shared" si="24"/>
        <v>0</v>
      </c>
      <c r="AD130" s="196">
        <f>AA130</f>
        <v>36402</v>
      </c>
      <c r="AE130" s="328">
        <f t="shared" si="25"/>
        <v>0</v>
      </c>
      <c r="AF130" s="196">
        <f>AA130-AA129</f>
        <v>6113</v>
      </c>
      <c r="AG130" s="197">
        <v>195</v>
      </c>
      <c r="AH130" s="329">
        <f t="shared" si="26"/>
        <v>186.67692307692309</v>
      </c>
      <c r="AI130" s="196">
        <f t="shared" ref="AI130:AI150" si="31">AF130/Z130</f>
        <v>6113</v>
      </c>
      <c r="AJ130" s="196">
        <f t="shared" si="27"/>
        <v>36402</v>
      </c>
      <c r="AK130" s="334">
        <f t="shared" ref="AK130:AK150" si="32">AG130-AG129</f>
        <v>37</v>
      </c>
      <c r="AL130" s="295">
        <f>(AF130-AA128)/(AK130-AG128)</f>
        <v>165.21621621621622</v>
      </c>
      <c r="AM130" s="295">
        <f>SUM(AF129:AF130)/SUM(AK129:AK130)</f>
        <v>186.67692307692309</v>
      </c>
      <c r="AN130" s="198">
        <f t="shared" ref="AN130:AN150" si="33">AF130/$AA$150</f>
        <v>4.9561783997210986E-2</v>
      </c>
      <c r="AO130" s="198">
        <f t="shared" ref="AO130:AO150" si="34">AO129+AN130</f>
        <v>0.29513300524561986</v>
      </c>
      <c r="AP130" s="278">
        <f t="shared" ref="AP130:AP150" si="35">AK130/$AG$150</f>
        <v>5.657492354740061E-2</v>
      </c>
      <c r="AQ130" s="278">
        <f>SUM(AP$128:AP130)</f>
        <v>0.29816513761467889</v>
      </c>
      <c r="AR130" s="198">
        <v>5.1641540743868043E-2</v>
      </c>
      <c r="AS130" s="198">
        <f t="shared" ref="AS130:AS150" si="36">AS129+AR130</f>
        <v>0.25470121554347636</v>
      </c>
      <c r="AT130" s="278">
        <v>5.2910052910052907E-2</v>
      </c>
      <c r="AU130" s="278">
        <f>SUM(AT$128:AT130)</f>
        <v>0.23677248677248677</v>
      </c>
      <c r="AV130" s="236">
        <f>$AA130/AU130</f>
        <v>153742.52513966479</v>
      </c>
      <c r="AW130" s="198">
        <v>3.0331221429144267E-2</v>
      </c>
      <c r="AX130" s="198">
        <f t="shared" ref="AX130:AX150" si="37">AX129+AW130</f>
        <v>0.23692357045472773</v>
      </c>
      <c r="AY130" s="278">
        <v>3.7463976945244948E-2</v>
      </c>
      <c r="AZ130" s="278">
        <f>SUM(AY$128:AY130)</f>
        <v>0.21037463976945245</v>
      </c>
      <c r="BA130" s="236">
        <f>$AA130/AZ130</f>
        <v>173034.16438356164</v>
      </c>
      <c r="BB130" s="236"/>
      <c r="BC130" s="198"/>
      <c r="BD130" s="236"/>
      <c r="BE130" s="278">
        <f t="shared" ref="BE130:BE150" si="38">AVERAGE(AR130,AW130)</f>
        <v>4.0986381086506152E-2</v>
      </c>
      <c r="BF130" s="278">
        <f t="shared" ref="BF130:BF150" si="39">AVERAGE(AT130,AY130)</f>
        <v>4.5187014927648927E-2</v>
      </c>
    </row>
    <row r="131" spans="1:58" s="179" customFormat="1" x14ac:dyDescent="0.3">
      <c r="A131" s="192"/>
      <c r="B131" s="192"/>
      <c r="C131" s="177"/>
      <c r="G131" s="342">
        <v>2</v>
      </c>
      <c r="H131" s="367" t="s">
        <v>25</v>
      </c>
      <c r="I131" s="462">
        <v>42659</v>
      </c>
      <c r="J131" s="463">
        <f t="shared" si="19"/>
        <v>42659</v>
      </c>
      <c r="K131" s="463">
        <f t="shared" si="19"/>
        <v>42659</v>
      </c>
      <c r="L131" s="345">
        <f t="shared" si="20"/>
        <v>0.34586228423638532</v>
      </c>
      <c r="M131" s="347">
        <f t="shared" si="28"/>
        <v>5.0729278990765458E-2</v>
      </c>
      <c r="N131" s="345">
        <f t="shared" si="21"/>
        <v>0.33333333333333331</v>
      </c>
      <c r="O131" s="347">
        <f t="shared" si="29"/>
        <v>4.8891597708963286E-2</v>
      </c>
      <c r="P131" s="345">
        <f t="shared" si="22"/>
        <v>0.25</v>
      </c>
      <c r="Q131" s="349">
        <f t="shared" si="30"/>
        <v>3.6668698281722506E-2</v>
      </c>
      <c r="R131" s="412"/>
      <c r="S131" s="193" t="s">
        <v>150</v>
      </c>
      <c r="T131" s="330">
        <v>2</v>
      </c>
      <c r="U131" s="331">
        <f t="shared" ref="U131:U150" si="40">WEEKDAY(V131)</f>
        <v>6</v>
      </c>
      <c r="V131" s="323">
        <f t="shared" ref="V131:V150" si="41">V130+1</f>
        <v>44218</v>
      </c>
      <c r="W131" s="324">
        <v>0.66666666666666663</v>
      </c>
      <c r="X131" s="325">
        <f t="shared" si="18"/>
        <v>44218.666666666664</v>
      </c>
      <c r="Y131" s="326">
        <f t="shared" si="23"/>
        <v>2</v>
      </c>
      <c r="Z131" s="326">
        <f t="shared" ref="Z131:Z150" si="42">Y131-Y130</f>
        <v>1</v>
      </c>
      <c r="AA131" s="194">
        <f>I131</f>
        <v>42659</v>
      </c>
      <c r="AB131" s="196">
        <f>AA131</f>
        <v>42659</v>
      </c>
      <c r="AC131" s="328">
        <f t="shared" si="24"/>
        <v>0</v>
      </c>
      <c r="AD131" s="196">
        <f>AA131</f>
        <v>42659</v>
      </c>
      <c r="AE131" s="328">
        <f t="shared" si="25"/>
        <v>0</v>
      </c>
      <c r="AF131" s="196">
        <f>AA131-AA130</f>
        <v>6257</v>
      </c>
      <c r="AG131" s="197">
        <v>233</v>
      </c>
      <c r="AH131" s="329">
        <f t="shared" si="26"/>
        <v>183.08583690987123</v>
      </c>
      <c r="AI131" s="196">
        <f t="shared" si="31"/>
        <v>6257</v>
      </c>
      <c r="AJ131" s="196">
        <f t="shared" si="27"/>
        <v>21329.5</v>
      </c>
      <c r="AK131" s="334">
        <f t="shared" si="32"/>
        <v>38</v>
      </c>
      <c r="AL131" s="295">
        <f t="shared" ref="AL131:AL151" si="43">AF131/AK131</f>
        <v>164.65789473684211</v>
      </c>
      <c r="AM131" s="295">
        <f>SUM(AF129:AF131)/SUM(AK129:AK131)</f>
        <v>183.08583690987123</v>
      </c>
      <c r="AN131" s="198">
        <f t="shared" si="33"/>
        <v>5.0729278990765438E-2</v>
      </c>
      <c r="AO131" s="293">
        <f t="shared" si="34"/>
        <v>0.34586228423638532</v>
      </c>
      <c r="AP131" s="278">
        <f t="shared" si="35"/>
        <v>5.8103975535168197E-2</v>
      </c>
      <c r="AQ131" s="278">
        <f>SUM(AP$128:AP131)</f>
        <v>0.35626911314984711</v>
      </c>
      <c r="AR131" s="198">
        <v>3.5680569481825485E-2</v>
      </c>
      <c r="AS131" s="293">
        <f t="shared" si="36"/>
        <v>0.29038178502530182</v>
      </c>
      <c r="AT131" s="278">
        <v>3.5714285714285712E-2</v>
      </c>
      <c r="AU131" s="278">
        <f>SUM(AT$128:AT131)</f>
        <v>0.2724867724867725</v>
      </c>
      <c r="AV131" s="236">
        <f>$AA131/AU131</f>
        <v>156554.38834951454</v>
      </c>
      <c r="AW131" s="198">
        <v>3.1967278851551872E-2</v>
      </c>
      <c r="AX131" s="293">
        <f t="shared" si="37"/>
        <v>0.2688908493062796</v>
      </c>
      <c r="AY131" s="278">
        <v>2.5936599423631135E-2</v>
      </c>
      <c r="AZ131" s="278">
        <f>SUM(AY$128:AY131)</f>
        <v>0.23631123919308358</v>
      </c>
      <c r="BA131" s="236">
        <f>$AA131/AZ131</f>
        <v>180520.40243902439</v>
      </c>
      <c r="BB131" s="236">
        <v>65000</v>
      </c>
      <c r="BC131" s="293">
        <f>BB131/$BB$151</f>
        <v>0.24436090225563908</v>
      </c>
      <c r="BD131" s="236">
        <f>$AA131/BC131</f>
        <v>174573.75384615385</v>
      </c>
      <c r="BE131" s="278">
        <f t="shared" si="38"/>
        <v>3.3823924166688682E-2</v>
      </c>
      <c r="BF131" s="278">
        <f t="shared" si="39"/>
        <v>3.0825442568958424E-2</v>
      </c>
    </row>
    <row r="132" spans="1:58" s="179" customFormat="1" x14ac:dyDescent="0.3">
      <c r="A132" s="192"/>
      <c r="B132" s="192"/>
      <c r="C132" s="177"/>
      <c r="G132" s="342">
        <v>3</v>
      </c>
      <c r="H132" s="367" t="s">
        <v>26</v>
      </c>
      <c r="I132" s="462">
        <f t="shared" ref="I132:I150" si="44">AA132</f>
        <v>45273</v>
      </c>
      <c r="J132" s="463">
        <f t="shared" ref="J132:J150" si="45">AD132</f>
        <v>45273</v>
      </c>
      <c r="K132" s="463">
        <f t="shared" ref="K132:K150" si="46">AB132</f>
        <v>45273</v>
      </c>
      <c r="L132" s="345">
        <f t="shared" si="20"/>
        <v>0.36705556141104745</v>
      </c>
      <c r="M132" s="347">
        <f t="shared" si="28"/>
        <v>2.1193277174662128E-2</v>
      </c>
      <c r="N132" s="345">
        <f t="shared" si="21"/>
        <v>0.3537588785484892</v>
      </c>
      <c r="O132" s="347">
        <f t="shared" si="29"/>
        <v>2.0425545215155883E-2</v>
      </c>
      <c r="P132" s="345">
        <f t="shared" si="22"/>
        <v>0.26531915891136687</v>
      </c>
      <c r="Q132" s="349">
        <f t="shared" si="30"/>
        <v>1.531915891136687E-2</v>
      </c>
      <c r="R132" s="413"/>
      <c r="S132" s="193" t="s">
        <v>234</v>
      </c>
      <c r="T132" s="330">
        <v>3</v>
      </c>
      <c r="U132" s="331">
        <f t="shared" si="40"/>
        <v>7</v>
      </c>
      <c r="V132" s="323">
        <f t="shared" si="41"/>
        <v>44219</v>
      </c>
      <c r="W132" s="324">
        <v>0.66666666666666663</v>
      </c>
      <c r="X132" s="325">
        <f t="shared" si="18"/>
        <v>44219.666666666664</v>
      </c>
      <c r="Y132" s="326">
        <f t="shared" si="23"/>
        <v>3</v>
      </c>
      <c r="Z132" s="326">
        <f t="shared" si="42"/>
        <v>1</v>
      </c>
      <c r="AA132" s="194">
        <v>45273</v>
      </c>
      <c r="AB132" s="196">
        <f>AA132</f>
        <v>45273</v>
      </c>
      <c r="AC132" s="328">
        <f t="shared" ref="AC132" si="47">AA132-AB132</f>
        <v>0</v>
      </c>
      <c r="AD132" s="196">
        <f>AA132</f>
        <v>45273</v>
      </c>
      <c r="AE132" s="196"/>
      <c r="AF132" s="196">
        <f t="shared" ref="AF132:AF150" si="48">AA132-AA131</f>
        <v>2614</v>
      </c>
      <c r="AG132" s="197">
        <v>248</v>
      </c>
      <c r="AH132" s="329">
        <f t="shared" si="26"/>
        <v>182.55241935483872</v>
      </c>
      <c r="AI132" s="196">
        <f t="shared" si="31"/>
        <v>2614</v>
      </c>
      <c r="AJ132" s="196">
        <f t="shared" si="27"/>
        <v>15091</v>
      </c>
      <c r="AK132" s="334">
        <f t="shared" si="32"/>
        <v>15</v>
      </c>
      <c r="AL132" s="295">
        <f t="shared" si="43"/>
        <v>174.26666666666668</v>
      </c>
      <c r="AM132" s="295">
        <f>SUM(AF129:AF132)/SUM(AK129:AK132)</f>
        <v>182.55241935483872</v>
      </c>
      <c r="AN132" s="198">
        <f t="shared" si="33"/>
        <v>2.1193277174662115E-2</v>
      </c>
      <c r="AO132" s="198">
        <f t="shared" si="34"/>
        <v>0.36705556141104745</v>
      </c>
      <c r="AP132" s="278">
        <f t="shared" si="35"/>
        <v>2.2935779816513763E-2</v>
      </c>
      <c r="AQ132" s="278">
        <f>SUM(AP$128:AP132)</f>
        <v>0.37920489296636084</v>
      </c>
      <c r="AR132" s="198">
        <v>2.5677109903190436E-2</v>
      </c>
      <c r="AS132" s="198">
        <f t="shared" si="36"/>
        <v>0.31605889492849226</v>
      </c>
      <c r="AT132" s="278">
        <v>2.3809523809523808E-2</v>
      </c>
      <c r="AU132" s="278">
        <f>SUM(AT$128:AT132)</f>
        <v>0.29629629629629628</v>
      </c>
      <c r="AV132" s="236">
        <f t="shared" ref="AV132:AV150" si="49">$AA132/AU132</f>
        <v>152796.375</v>
      </c>
      <c r="AW132" s="198">
        <v>3.3956211404282621E-2</v>
      </c>
      <c r="AX132" s="198">
        <f t="shared" si="37"/>
        <v>0.30284706071056222</v>
      </c>
      <c r="AY132" s="278">
        <v>3.746397694524492E-2</v>
      </c>
      <c r="AZ132" s="278">
        <f>SUM(AY$128:AY132)</f>
        <v>0.2737752161383285</v>
      </c>
      <c r="BA132" s="236">
        <f t="shared" ref="BA132:BA139" si="50">$AA132/AZ132</f>
        <v>165365.58947368423</v>
      </c>
      <c r="BB132" s="236"/>
      <c r="BC132" s="198"/>
      <c r="BD132" s="236"/>
      <c r="BE132" s="278">
        <f t="shared" si="38"/>
        <v>2.9816660653736528E-2</v>
      </c>
      <c r="BF132" s="278">
        <f t="shared" si="39"/>
        <v>3.0636750377384364E-2</v>
      </c>
    </row>
    <row r="133" spans="1:58" s="179" customFormat="1" x14ac:dyDescent="0.3">
      <c r="A133" s="192"/>
      <c r="B133" s="192"/>
      <c r="C133" s="177"/>
      <c r="G133" s="342">
        <v>4</v>
      </c>
      <c r="H133" s="367" t="s">
        <v>27</v>
      </c>
      <c r="I133" s="462">
        <f t="shared" si="44"/>
        <v>47957</v>
      </c>
      <c r="J133" s="463">
        <f t="shared" si="45"/>
        <v>49308.752437306182</v>
      </c>
      <c r="K133" s="463">
        <f t="shared" si="46"/>
        <v>50654.003249741581</v>
      </c>
      <c r="L133" s="345">
        <f t="shared" si="20"/>
        <v>0.38881637087424298</v>
      </c>
      <c r="M133" s="347">
        <f t="shared" si="28"/>
        <v>2.176080946319553E-2</v>
      </c>
      <c r="N133" s="345">
        <f t="shared" si="21"/>
        <v>0.38529386090708628</v>
      </c>
      <c r="O133" s="347">
        <f t="shared" si="29"/>
        <v>3.1534982358597086E-2</v>
      </c>
      <c r="P133" s="345">
        <f t="shared" si="22"/>
        <v>0.29685414126996401</v>
      </c>
      <c r="Q133" s="349">
        <f t="shared" si="30"/>
        <v>3.1534982358597141E-2</v>
      </c>
      <c r="R133" s="413"/>
      <c r="S133" s="193" t="s">
        <v>246</v>
      </c>
      <c r="T133" s="330">
        <v>4</v>
      </c>
      <c r="U133" s="331">
        <f t="shared" si="40"/>
        <v>1</v>
      </c>
      <c r="V133" s="323">
        <f t="shared" si="41"/>
        <v>44220</v>
      </c>
      <c r="W133" s="324">
        <v>0.66666666666666663</v>
      </c>
      <c r="X133" s="325">
        <f t="shared" si="18"/>
        <v>44220.666666666664</v>
      </c>
      <c r="Y133" s="326">
        <f t="shared" si="23"/>
        <v>4</v>
      </c>
      <c r="Z133" s="326">
        <f t="shared" si="42"/>
        <v>1</v>
      </c>
      <c r="AA133" s="194">
        <v>47957</v>
      </c>
      <c r="AB133" s="196">
        <v>50654.003249741581</v>
      </c>
      <c r="AC133" s="196">
        <f t="shared" si="24"/>
        <v>-2697.0032497415814</v>
      </c>
      <c r="AD133" s="196">
        <v>49308.752437306182</v>
      </c>
      <c r="AE133" s="196">
        <f t="shared" si="25"/>
        <v>-1351.7524373061824</v>
      </c>
      <c r="AF133" s="196">
        <f t="shared" si="48"/>
        <v>2684</v>
      </c>
      <c r="AG133" s="197">
        <v>264</v>
      </c>
      <c r="AH133" s="329">
        <f t="shared" si="26"/>
        <v>181.65530303030303</v>
      </c>
      <c r="AI133" s="196">
        <f t="shared" si="31"/>
        <v>2684</v>
      </c>
      <c r="AJ133" s="196">
        <f t="shared" si="27"/>
        <v>11989.25</v>
      </c>
      <c r="AK133" s="334">
        <f t="shared" si="32"/>
        <v>16</v>
      </c>
      <c r="AL133" s="295">
        <f t="shared" si="43"/>
        <v>167.75</v>
      </c>
      <c r="AM133" s="295">
        <f>SUM(AF130:AF133)/SUM(AK130:AK133)</f>
        <v>166.67924528301887</v>
      </c>
      <c r="AN133" s="198">
        <f t="shared" si="33"/>
        <v>2.176080946319553E-2</v>
      </c>
      <c r="AO133" s="198">
        <f t="shared" si="34"/>
        <v>0.38881637087424298</v>
      </c>
      <c r="AP133" s="278">
        <f t="shared" si="35"/>
        <v>2.4464831804281346E-2</v>
      </c>
      <c r="AQ133" s="278">
        <f>SUM(AP$128:AP133)</f>
        <v>0.40366972477064217</v>
      </c>
      <c r="AR133" s="198">
        <v>3.5545704551984567E-2</v>
      </c>
      <c r="AS133" s="198">
        <f t="shared" si="36"/>
        <v>0.35160459948047684</v>
      </c>
      <c r="AT133" s="278">
        <v>3.0423280423280422E-2</v>
      </c>
      <c r="AU133" s="278">
        <f>SUM(AT$128:AT133)</f>
        <v>0.32671957671957669</v>
      </c>
      <c r="AV133" s="236">
        <f t="shared" si="49"/>
        <v>146783.36842105264</v>
      </c>
      <c r="AW133" s="198">
        <v>2.7524260165209702E-2</v>
      </c>
      <c r="AX133" s="198">
        <f t="shared" si="37"/>
        <v>0.33037132087577192</v>
      </c>
      <c r="AY133" s="278">
        <v>2.8818443804034588E-2</v>
      </c>
      <c r="AZ133" s="278">
        <f>SUM(AY$128:AY133)</f>
        <v>0.30259365994236309</v>
      </c>
      <c r="BA133" s="236">
        <f t="shared" si="50"/>
        <v>158486.46666666667</v>
      </c>
      <c r="BB133" s="236"/>
      <c r="BC133" s="373"/>
      <c r="BD133" s="236"/>
      <c r="BE133" s="278">
        <f t="shared" si="38"/>
        <v>3.1534982358597134E-2</v>
      </c>
      <c r="BF133" s="278">
        <f t="shared" si="39"/>
        <v>2.9620862113657505E-2</v>
      </c>
    </row>
    <row r="134" spans="1:58" s="179" customFormat="1" x14ac:dyDescent="0.3">
      <c r="A134" s="192"/>
      <c r="B134" s="192"/>
      <c r="C134" s="177"/>
      <c r="G134" s="342">
        <v>5</v>
      </c>
      <c r="H134" s="367" t="s">
        <v>28</v>
      </c>
      <c r="I134" s="462">
        <f t="shared" si="44"/>
        <v>50763</v>
      </c>
      <c r="J134" s="463">
        <f t="shared" si="45"/>
        <v>51814.390685287006</v>
      </c>
      <c r="K134" s="463">
        <f t="shared" si="46"/>
        <v>53994.854247049341</v>
      </c>
      <c r="L134" s="345">
        <f t="shared" si="20"/>
        <v>0.41156630804031102</v>
      </c>
      <c r="M134" s="347">
        <f t="shared" si="28"/>
        <v>2.2749937166068046E-2</v>
      </c>
      <c r="N134" s="345">
        <f t="shared" si="21"/>
        <v>0.40487267778809477</v>
      </c>
      <c r="O134" s="347">
        <f t="shared" si="29"/>
        <v>1.9578816881008487E-2</v>
      </c>
      <c r="P134" s="345">
        <f t="shared" si="22"/>
        <v>0.3164329581509725</v>
      </c>
      <c r="Q134" s="349">
        <f t="shared" si="30"/>
        <v>1.9578816881008487E-2</v>
      </c>
      <c r="R134" s="413"/>
      <c r="S134" s="193" t="s">
        <v>272</v>
      </c>
      <c r="T134" s="330">
        <v>5</v>
      </c>
      <c r="U134" s="331">
        <f t="shared" si="40"/>
        <v>2</v>
      </c>
      <c r="V134" s="323">
        <f t="shared" si="41"/>
        <v>44221</v>
      </c>
      <c r="W134" s="324">
        <v>0.66666666666666663</v>
      </c>
      <c r="X134" s="325">
        <f t="shared" si="18"/>
        <v>44221.666666666664</v>
      </c>
      <c r="Y134" s="326">
        <f t="shared" si="23"/>
        <v>5</v>
      </c>
      <c r="Z134" s="326">
        <f t="shared" si="42"/>
        <v>1</v>
      </c>
      <c r="AA134" s="194">
        <v>50763</v>
      </c>
      <c r="AB134" s="196">
        <v>53994.854247049341</v>
      </c>
      <c r="AC134" s="196">
        <f t="shared" si="24"/>
        <v>-3231.8542470493412</v>
      </c>
      <c r="AD134" s="196">
        <v>51814.390685287006</v>
      </c>
      <c r="AE134" s="196">
        <f t="shared" si="25"/>
        <v>-1051.3906852870059</v>
      </c>
      <c r="AF134" s="196">
        <f t="shared" si="48"/>
        <v>2806</v>
      </c>
      <c r="AG134" s="197">
        <v>280</v>
      </c>
      <c r="AH134" s="329">
        <f t="shared" si="26"/>
        <v>181.29642857142858</v>
      </c>
      <c r="AI134" s="196">
        <f t="shared" si="31"/>
        <v>2806</v>
      </c>
      <c r="AJ134" s="196">
        <f t="shared" si="27"/>
        <v>10152.6</v>
      </c>
      <c r="AK134" s="334">
        <f t="shared" si="32"/>
        <v>16</v>
      </c>
      <c r="AL134" s="295">
        <f t="shared" si="43"/>
        <v>175.375</v>
      </c>
      <c r="AM134" s="295">
        <f>SUM(AF130:AF134)/SUM(AK130:AK134)</f>
        <v>167.81967213114754</v>
      </c>
      <c r="AN134" s="198">
        <f t="shared" si="33"/>
        <v>2.2749937166068056E-2</v>
      </c>
      <c r="AO134" s="198">
        <f t="shared" si="34"/>
        <v>0.41156630804031102</v>
      </c>
      <c r="AP134" s="278">
        <f t="shared" si="35"/>
        <v>2.4464831804281346E-2</v>
      </c>
      <c r="AQ134" s="278">
        <f>SUM(AP$128:AP134)</f>
        <v>0.4281345565749235</v>
      </c>
      <c r="AR134" s="198">
        <v>1.8482359080807548E-2</v>
      </c>
      <c r="AS134" s="198">
        <f t="shared" si="36"/>
        <v>0.37008695856128437</v>
      </c>
      <c r="AT134" s="278">
        <v>2.2486772486772486E-2</v>
      </c>
      <c r="AU134" s="278">
        <f>SUM(AT$128:AT134)</f>
        <v>0.34920634920634919</v>
      </c>
      <c r="AV134" s="236">
        <f t="shared" si="49"/>
        <v>145366.77272727274</v>
      </c>
      <c r="AW134" s="198">
        <v>2.0675274681209388E-2</v>
      </c>
      <c r="AX134" s="198">
        <f t="shared" si="37"/>
        <v>0.35104659555698131</v>
      </c>
      <c r="AY134" s="278">
        <v>1.7291066282420775E-2</v>
      </c>
      <c r="AZ134" s="278">
        <f>SUM(AY$128:AY134)</f>
        <v>0.31988472622478387</v>
      </c>
      <c r="BA134" s="236">
        <f t="shared" si="50"/>
        <v>158691.54054054053</v>
      </c>
      <c r="BB134" s="236"/>
      <c r="BC134" s="373"/>
      <c r="BD134" s="236"/>
      <c r="BE134" s="278">
        <f t="shared" si="38"/>
        <v>1.9578816881008466E-2</v>
      </c>
      <c r="BF134" s="278">
        <f t="shared" si="39"/>
        <v>1.988891938459663E-2</v>
      </c>
    </row>
    <row r="135" spans="1:58" s="179" customFormat="1" x14ac:dyDescent="0.3">
      <c r="A135" s="192"/>
      <c r="B135" s="192"/>
      <c r="C135" s="177"/>
      <c r="G135" s="342">
        <v>6</v>
      </c>
      <c r="H135" s="367" t="s">
        <v>29</v>
      </c>
      <c r="I135" s="462">
        <f t="shared" si="44"/>
        <v>53829</v>
      </c>
      <c r="J135" s="463">
        <f t="shared" si="45"/>
        <v>53280.247909594407</v>
      </c>
      <c r="K135" s="463">
        <f t="shared" si="46"/>
        <v>55949.330546125879</v>
      </c>
      <c r="L135" s="345">
        <f t="shared" si="20"/>
        <v>0.43642422227807459</v>
      </c>
      <c r="M135" s="347">
        <f t="shared" si="28"/>
        <v>2.4857914237763568E-2</v>
      </c>
      <c r="N135" s="345">
        <f t="shared" si="21"/>
        <v>0.41632674550578935</v>
      </c>
      <c r="O135" s="347">
        <f t="shared" si="29"/>
        <v>1.1454067717694583E-2</v>
      </c>
      <c r="P135" s="345">
        <f t="shared" si="22"/>
        <v>0.32788702586866708</v>
      </c>
      <c r="Q135" s="349">
        <f t="shared" si="30"/>
        <v>1.1454067717694583E-2</v>
      </c>
      <c r="R135" s="413"/>
      <c r="S135" s="193" t="s">
        <v>280</v>
      </c>
      <c r="T135" s="330">
        <v>6</v>
      </c>
      <c r="U135" s="331">
        <f t="shared" si="40"/>
        <v>3</v>
      </c>
      <c r="V135" s="323">
        <f t="shared" si="41"/>
        <v>44222</v>
      </c>
      <c r="W135" s="324">
        <v>0.66666666666666663</v>
      </c>
      <c r="X135" s="325">
        <f t="shared" si="18"/>
        <v>44222.666666666664</v>
      </c>
      <c r="Y135" s="326">
        <f t="shared" si="23"/>
        <v>6</v>
      </c>
      <c r="Z135" s="326">
        <f t="shared" si="42"/>
        <v>1</v>
      </c>
      <c r="AA135" s="194">
        <v>53829</v>
      </c>
      <c r="AB135" s="196">
        <v>55949.330546125879</v>
      </c>
      <c r="AC135" s="196">
        <f t="shared" si="24"/>
        <v>-2120.3305461258788</v>
      </c>
      <c r="AD135" s="196">
        <v>53280.247909594407</v>
      </c>
      <c r="AE135" s="196">
        <f t="shared" si="25"/>
        <v>548.75209040559275</v>
      </c>
      <c r="AF135" s="196">
        <f t="shared" si="48"/>
        <v>3066</v>
      </c>
      <c r="AG135" s="197">
        <v>294</v>
      </c>
      <c r="AH135" s="329">
        <f t="shared" si="26"/>
        <v>183.09183673469389</v>
      </c>
      <c r="AI135" s="196">
        <f t="shared" si="31"/>
        <v>3066</v>
      </c>
      <c r="AJ135" s="196">
        <f t="shared" si="27"/>
        <v>8971.5</v>
      </c>
      <c r="AK135" s="334">
        <f t="shared" si="32"/>
        <v>14</v>
      </c>
      <c r="AL135" s="295">
        <f t="shared" si="43"/>
        <v>219</v>
      </c>
      <c r="AM135" s="295">
        <f>SUM(AF131:AF135)/SUM(AK131:AK135)</f>
        <v>176.03030303030303</v>
      </c>
      <c r="AN135" s="198">
        <f t="shared" si="33"/>
        <v>2.4857914237763599E-2</v>
      </c>
      <c r="AO135" s="198">
        <f t="shared" si="34"/>
        <v>0.43642422227807465</v>
      </c>
      <c r="AP135" s="278">
        <f t="shared" si="35"/>
        <v>2.1406727828746176E-2</v>
      </c>
      <c r="AQ135" s="278">
        <f>SUM(AP$128:AP135)</f>
        <v>0.44954128440366969</v>
      </c>
      <c r="AR135" s="198">
        <v>1.1920887059416798E-2</v>
      </c>
      <c r="AS135" s="198">
        <f t="shared" si="36"/>
        <v>0.38200784562070117</v>
      </c>
      <c r="AT135" s="278">
        <v>1.3227513227513227E-2</v>
      </c>
      <c r="AU135" s="278">
        <f>SUM(AT$128:AT135)</f>
        <v>0.36243386243386244</v>
      </c>
      <c r="AV135" s="236">
        <f t="shared" si="49"/>
        <v>148520.8905109489</v>
      </c>
      <c r="AW135" s="198">
        <v>1.0987248375972425E-2</v>
      </c>
      <c r="AX135" s="198">
        <f t="shared" si="37"/>
        <v>0.36203384393295374</v>
      </c>
      <c r="AY135" s="278">
        <v>1.1527377521613813E-2</v>
      </c>
      <c r="AZ135" s="278">
        <f>SUM(AY$128:AY135)</f>
        <v>0.33141210374639768</v>
      </c>
      <c r="BA135" s="236">
        <f t="shared" si="50"/>
        <v>162423.15652173915</v>
      </c>
      <c r="BB135" s="236"/>
      <c r="BC135" s="373"/>
      <c r="BD135" s="236"/>
      <c r="BE135" s="278">
        <f t="shared" si="38"/>
        <v>1.145406771769461E-2</v>
      </c>
      <c r="BF135" s="278">
        <f t="shared" si="39"/>
        <v>1.237744537456352E-2</v>
      </c>
    </row>
    <row r="136" spans="1:58" s="179" customFormat="1" x14ac:dyDescent="0.3">
      <c r="A136" s="192"/>
      <c r="B136" s="192"/>
      <c r="C136" s="177"/>
      <c r="G136" s="342">
        <v>7</v>
      </c>
      <c r="H136" s="367" t="s">
        <v>30</v>
      </c>
      <c r="I136" s="462">
        <f t="shared" si="44"/>
        <v>55981</v>
      </c>
      <c r="J136" s="463">
        <f t="shared" si="45"/>
        <v>56610.723164790135</v>
      </c>
      <c r="K136" s="463">
        <f t="shared" si="46"/>
        <v>60389.964219720183</v>
      </c>
      <c r="L136" s="345">
        <f t="shared" si="20"/>
        <v>0.45387178634841618</v>
      </c>
      <c r="M136" s="347">
        <f t="shared" si="28"/>
        <v>1.7447564070341592E-2</v>
      </c>
      <c r="N136" s="345">
        <f t="shared" si="21"/>
        <v>0.4423507596270434</v>
      </c>
      <c r="O136" s="347">
        <f t="shared" si="29"/>
        <v>2.6024014121254047E-2</v>
      </c>
      <c r="P136" s="345">
        <f t="shared" si="22"/>
        <v>0.35391103998992113</v>
      </c>
      <c r="Q136" s="349">
        <f t="shared" si="30"/>
        <v>2.6024014121254047E-2</v>
      </c>
      <c r="R136" s="413"/>
      <c r="S136" s="193" t="s">
        <v>281</v>
      </c>
      <c r="T136" s="330">
        <v>7</v>
      </c>
      <c r="U136" s="331">
        <f t="shared" si="40"/>
        <v>4</v>
      </c>
      <c r="V136" s="323">
        <f t="shared" si="41"/>
        <v>44223</v>
      </c>
      <c r="W136" s="324">
        <v>0.66666666666666663</v>
      </c>
      <c r="X136" s="325">
        <f t="shared" si="18"/>
        <v>44223.666666666664</v>
      </c>
      <c r="Y136" s="326">
        <f t="shared" si="23"/>
        <v>7</v>
      </c>
      <c r="Z136" s="326">
        <f t="shared" si="42"/>
        <v>1</v>
      </c>
      <c r="AA136" s="194">
        <v>55981</v>
      </c>
      <c r="AB136" s="196">
        <v>60389.964219720183</v>
      </c>
      <c r="AC136" s="196">
        <f t="shared" si="24"/>
        <v>-4408.9642197201829</v>
      </c>
      <c r="AD136" s="196">
        <v>56610.723164790135</v>
      </c>
      <c r="AE136" s="196">
        <f t="shared" si="25"/>
        <v>-629.72316479013534</v>
      </c>
      <c r="AF136" s="196">
        <f t="shared" si="48"/>
        <v>2152</v>
      </c>
      <c r="AG136" s="197">
        <v>308</v>
      </c>
      <c r="AH136" s="329">
        <f t="shared" si="26"/>
        <v>181.75649350649351</v>
      </c>
      <c r="AI136" s="196">
        <f t="shared" si="31"/>
        <v>2152</v>
      </c>
      <c r="AJ136" s="196">
        <f t="shared" si="27"/>
        <v>7997.2857142857147</v>
      </c>
      <c r="AK136" s="334">
        <f t="shared" si="32"/>
        <v>14</v>
      </c>
      <c r="AL136" s="295">
        <f t="shared" si="43"/>
        <v>153.71428571428572</v>
      </c>
      <c r="AM136" s="295">
        <f t="shared" ref="AM136:AM150" si="51">SUM(AF132:AF136)/SUM(AK132:AK136)</f>
        <v>177.62666666666667</v>
      </c>
      <c r="AN136" s="198">
        <f t="shared" si="33"/>
        <v>1.7447564070341575E-2</v>
      </c>
      <c r="AO136" s="198">
        <f t="shared" si="34"/>
        <v>0.45387178634841624</v>
      </c>
      <c r="AP136" s="278">
        <f t="shared" si="35"/>
        <v>2.1406727828746176E-2</v>
      </c>
      <c r="AQ136" s="278">
        <f>SUM(AP$128:AP136)</f>
        <v>0.47094801223241589</v>
      </c>
      <c r="AR136" s="198">
        <v>2.6240024392961223E-2</v>
      </c>
      <c r="AS136" s="198">
        <f t="shared" si="36"/>
        <v>0.40824787001366242</v>
      </c>
      <c r="AT136" s="278">
        <v>2.7777777777777776E-2</v>
      </c>
      <c r="AU136" s="278">
        <f>SUM(AT$128:AT136)</f>
        <v>0.39021164021164023</v>
      </c>
      <c r="AV136" s="236">
        <f t="shared" si="49"/>
        <v>143463.17288135592</v>
      </c>
      <c r="AW136" s="198">
        <v>2.5808003849546846E-2</v>
      </c>
      <c r="AX136" s="198">
        <f t="shared" si="37"/>
        <v>0.38784184778250058</v>
      </c>
      <c r="AY136" s="278">
        <v>2.5936599423631135E-2</v>
      </c>
      <c r="AZ136" s="278">
        <f>SUM(AY$128:AY136)</f>
        <v>0.35734870317002881</v>
      </c>
      <c r="BA136" s="236">
        <f t="shared" si="50"/>
        <v>156656.50806451612</v>
      </c>
      <c r="BB136" s="236"/>
      <c r="BC136" s="373"/>
      <c r="BD136" s="236"/>
      <c r="BE136" s="278">
        <f t="shared" si="38"/>
        <v>2.6024014121254033E-2</v>
      </c>
      <c r="BF136" s="278">
        <f t="shared" si="39"/>
        <v>2.6857188600704456E-2</v>
      </c>
    </row>
    <row r="137" spans="1:58" s="179" customFormat="1" x14ac:dyDescent="0.3">
      <c r="A137" s="192"/>
      <c r="B137" s="192"/>
      <c r="C137" s="177"/>
      <c r="G137" s="342">
        <v>8</v>
      </c>
      <c r="H137" s="367" t="s">
        <v>31</v>
      </c>
      <c r="I137" s="462">
        <f t="shared" si="44"/>
        <v>58795</v>
      </c>
      <c r="J137" s="463">
        <f t="shared" si="45"/>
        <v>60361.260349141085</v>
      </c>
      <c r="K137" s="463">
        <f t="shared" si="46"/>
        <v>65390.680465521451</v>
      </c>
      <c r="L137" s="345">
        <f t="shared" si="20"/>
        <v>0.47668658434745947</v>
      </c>
      <c r="M137" s="347">
        <f t="shared" si="28"/>
        <v>2.281479799904329E-2</v>
      </c>
      <c r="N137" s="345">
        <f t="shared" si="21"/>
        <v>0.47165709736234701</v>
      </c>
      <c r="O137" s="347">
        <f t="shared" si="29"/>
        <v>2.9306337735303611E-2</v>
      </c>
      <c r="P137" s="345">
        <f t="shared" si="22"/>
        <v>0.38321737772522474</v>
      </c>
      <c r="Q137" s="349">
        <f t="shared" si="30"/>
        <v>2.9306337735303611E-2</v>
      </c>
      <c r="R137" s="413"/>
      <c r="S137" s="193" t="s">
        <v>283</v>
      </c>
      <c r="T137" s="330">
        <v>8</v>
      </c>
      <c r="U137" s="331">
        <f t="shared" si="40"/>
        <v>5</v>
      </c>
      <c r="V137" s="323">
        <f t="shared" si="41"/>
        <v>44224</v>
      </c>
      <c r="W137" s="324">
        <v>0.66666666666666663</v>
      </c>
      <c r="X137" s="325">
        <f t="shared" si="18"/>
        <v>44224.666666666664</v>
      </c>
      <c r="Y137" s="326">
        <f t="shared" si="23"/>
        <v>8</v>
      </c>
      <c r="Z137" s="326">
        <f t="shared" si="42"/>
        <v>1</v>
      </c>
      <c r="AA137" s="194">
        <v>58795</v>
      </c>
      <c r="AB137" s="196">
        <v>65390.680465521451</v>
      </c>
      <c r="AC137" s="196">
        <f t="shared" si="24"/>
        <v>-6595.680465521451</v>
      </c>
      <c r="AD137" s="196">
        <v>60361.260349141085</v>
      </c>
      <c r="AE137" s="196">
        <f t="shared" si="25"/>
        <v>-1566.2603491410846</v>
      </c>
      <c r="AF137" s="196">
        <f t="shared" si="48"/>
        <v>2814</v>
      </c>
      <c r="AG137" s="197">
        <v>325</v>
      </c>
      <c r="AH137" s="329">
        <f t="shared" si="26"/>
        <v>180.90769230769232</v>
      </c>
      <c r="AI137" s="196">
        <f t="shared" si="31"/>
        <v>2814</v>
      </c>
      <c r="AJ137" s="196">
        <f t="shared" si="27"/>
        <v>7349.375</v>
      </c>
      <c r="AK137" s="334">
        <f t="shared" si="32"/>
        <v>17</v>
      </c>
      <c r="AL137" s="295">
        <f t="shared" si="43"/>
        <v>165.52941176470588</v>
      </c>
      <c r="AM137" s="295">
        <f t="shared" si="51"/>
        <v>175.6103896103896</v>
      </c>
      <c r="AN137" s="198">
        <f t="shared" si="33"/>
        <v>2.2814797999043304E-2</v>
      </c>
      <c r="AO137" s="198">
        <f t="shared" si="34"/>
        <v>0.47668658434745953</v>
      </c>
      <c r="AP137" s="278">
        <f t="shared" si="35"/>
        <v>2.5993883792048929E-2</v>
      </c>
      <c r="AQ137" s="278">
        <f>SUM(AP$128:AP137)</f>
        <v>0.49694189602446481</v>
      </c>
      <c r="AR137" s="198">
        <v>1.852926862162178E-2</v>
      </c>
      <c r="AS137" s="198">
        <f t="shared" si="36"/>
        <v>0.42677713863528421</v>
      </c>
      <c r="AT137" s="278">
        <v>1.7195767195767195E-2</v>
      </c>
      <c r="AU137" s="278">
        <f>SUM(AT$128:AT137)</f>
        <v>0.40740740740740744</v>
      </c>
      <c r="AV137" s="236">
        <f t="shared" si="49"/>
        <v>144315</v>
      </c>
      <c r="AW137" s="198">
        <v>4.0083406848985481E-2</v>
      </c>
      <c r="AX137" s="198">
        <f t="shared" si="37"/>
        <v>0.42792525463148606</v>
      </c>
      <c r="AY137" s="278">
        <v>3.4582132564841495E-2</v>
      </c>
      <c r="AZ137" s="278">
        <f>SUM(AY$128:AY137)</f>
        <v>0.39193083573487031</v>
      </c>
      <c r="BA137" s="236">
        <f t="shared" si="50"/>
        <v>150013.71323529413</v>
      </c>
      <c r="BB137" s="236"/>
      <c r="BC137" s="373"/>
      <c r="BD137" s="236"/>
      <c r="BE137" s="278">
        <f t="shared" si="38"/>
        <v>2.9306337735303632E-2</v>
      </c>
      <c r="BF137" s="278">
        <f t="shared" si="39"/>
        <v>2.5888949880304345E-2</v>
      </c>
    </row>
    <row r="138" spans="1:58" s="179" customFormat="1" x14ac:dyDescent="0.3">
      <c r="A138" s="192"/>
      <c r="B138" s="192"/>
      <c r="C138" s="177"/>
      <c r="G138" s="342">
        <v>9</v>
      </c>
      <c r="H138" s="367" t="s">
        <v>32</v>
      </c>
      <c r="I138" s="462">
        <f t="shared" si="44"/>
        <v>63300</v>
      </c>
      <c r="J138" s="463">
        <f t="shared" si="45"/>
        <v>63012.650747361004</v>
      </c>
      <c r="K138" s="463">
        <f t="shared" si="46"/>
        <v>68925.867663148005</v>
      </c>
      <c r="L138" s="345">
        <f t="shared" si="20"/>
        <v>0.51321134091664578</v>
      </c>
      <c r="M138" s="347">
        <f t="shared" si="28"/>
        <v>3.6524756569186301E-2</v>
      </c>
      <c r="N138" s="345">
        <f t="shared" si="21"/>
        <v>0.49237480756199165</v>
      </c>
      <c r="O138" s="347">
        <f t="shared" si="29"/>
        <v>2.0717710199644634E-2</v>
      </c>
      <c r="P138" s="345">
        <f t="shared" si="22"/>
        <v>0.40393508792486932</v>
      </c>
      <c r="Q138" s="349">
        <f t="shared" si="30"/>
        <v>2.0717710199644579E-2</v>
      </c>
      <c r="R138" s="413"/>
      <c r="S138" s="193" t="s">
        <v>293</v>
      </c>
      <c r="T138" s="330">
        <v>9</v>
      </c>
      <c r="U138" s="331">
        <f t="shared" si="40"/>
        <v>6</v>
      </c>
      <c r="V138" s="323">
        <f t="shared" si="41"/>
        <v>44225</v>
      </c>
      <c r="W138" s="324">
        <v>0.66666666666666663</v>
      </c>
      <c r="X138" s="325">
        <f t="shared" si="18"/>
        <v>44225.666666666664</v>
      </c>
      <c r="Y138" s="326">
        <f t="shared" si="23"/>
        <v>9</v>
      </c>
      <c r="Z138" s="326">
        <f t="shared" si="42"/>
        <v>1</v>
      </c>
      <c r="AA138" s="194">
        <v>63300</v>
      </c>
      <c r="AB138" s="196">
        <v>68925.867663148005</v>
      </c>
      <c r="AC138" s="196">
        <f t="shared" si="24"/>
        <v>-5625.8676631480048</v>
      </c>
      <c r="AD138" s="196">
        <v>63012.650747361004</v>
      </c>
      <c r="AE138" s="196">
        <f t="shared" si="25"/>
        <v>287.3492526389964</v>
      </c>
      <c r="AF138" s="196">
        <f t="shared" si="48"/>
        <v>4505</v>
      </c>
      <c r="AG138" s="197">
        <v>350</v>
      </c>
      <c r="AH138" s="329">
        <f t="shared" si="26"/>
        <v>180.85714285714286</v>
      </c>
      <c r="AI138" s="196">
        <f t="shared" si="31"/>
        <v>4505</v>
      </c>
      <c r="AJ138" s="196">
        <f t="shared" si="27"/>
        <v>7033.333333333333</v>
      </c>
      <c r="AK138" s="334">
        <f t="shared" si="32"/>
        <v>25</v>
      </c>
      <c r="AL138" s="295">
        <f t="shared" si="43"/>
        <v>180.2</v>
      </c>
      <c r="AM138" s="295">
        <f t="shared" si="51"/>
        <v>178.40697674418604</v>
      </c>
      <c r="AN138" s="198">
        <f t="shared" si="33"/>
        <v>3.6524756569186238E-2</v>
      </c>
      <c r="AO138" s="198">
        <f t="shared" si="34"/>
        <v>0.51321134091664578</v>
      </c>
      <c r="AP138" s="278">
        <f t="shared" si="35"/>
        <v>3.82262996941896E-2</v>
      </c>
      <c r="AQ138" s="278">
        <f>SUM(AP$128:AP138)</f>
        <v>0.53516819571865437</v>
      </c>
      <c r="AR138" s="198">
        <v>2.2364123583185274E-2</v>
      </c>
      <c r="AS138" s="198">
        <f t="shared" si="36"/>
        <v>0.44914126221846951</v>
      </c>
      <c r="AT138" s="278">
        <v>2.7777777777777776E-2</v>
      </c>
      <c r="AU138" s="278">
        <f>SUM(AT$128:AT138)</f>
        <v>0.43518518518518523</v>
      </c>
      <c r="AV138" s="236">
        <f t="shared" si="49"/>
        <v>145455.31914893616</v>
      </c>
      <c r="AW138" s="198">
        <v>1.9071296816103978E-2</v>
      </c>
      <c r="AX138" s="198">
        <f t="shared" si="37"/>
        <v>0.44699655144759004</v>
      </c>
      <c r="AY138" s="278">
        <v>1.7291066282420775E-2</v>
      </c>
      <c r="AZ138" s="278">
        <f>SUM(AY$128:AY138)</f>
        <v>0.40922190201729108</v>
      </c>
      <c r="BA138" s="236">
        <f t="shared" si="50"/>
        <v>154683.80281690141</v>
      </c>
      <c r="BB138" s="236"/>
      <c r="BC138" s="373"/>
      <c r="BD138" s="236"/>
      <c r="BE138" s="278">
        <f t="shared" si="38"/>
        <v>2.0717710199644628E-2</v>
      </c>
      <c r="BF138" s="278">
        <f t="shared" si="39"/>
        <v>2.2534422030099276E-2</v>
      </c>
    </row>
    <row r="139" spans="1:58" s="179" customFormat="1" x14ac:dyDescent="0.3">
      <c r="A139" s="192"/>
      <c r="B139" s="192"/>
      <c r="C139" s="177"/>
      <c r="G139" s="342">
        <v>10</v>
      </c>
      <c r="H139" s="367" t="s">
        <v>33</v>
      </c>
      <c r="I139" s="462">
        <f t="shared" si="44"/>
        <v>66650</v>
      </c>
      <c r="J139" s="463">
        <f t="shared" si="45"/>
        <v>68604.426774348656</v>
      </c>
      <c r="K139" s="463">
        <f t="shared" si="46"/>
        <v>76381.569032464875</v>
      </c>
      <c r="L139" s="345">
        <f t="shared" si="20"/>
        <v>0.5403718147250306</v>
      </c>
      <c r="M139" s="347">
        <f t="shared" si="28"/>
        <v>2.7160473808384822E-2</v>
      </c>
      <c r="N139" s="345">
        <f t="shared" si="21"/>
        <v>0.53606840896683505</v>
      </c>
      <c r="O139" s="347">
        <f t="shared" si="29"/>
        <v>4.3693601404843407E-2</v>
      </c>
      <c r="P139" s="345">
        <f t="shared" si="22"/>
        <v>0.44762868932971284</v>
      </c>
      <c r="Q139" s="349">
        <f t="shared" si="30"/>
        <v>4.3693601404843518E-2</v>
      </c>
      <c r="R139" s="413"/>
      <c r="S139" s="193" t="s">
        <v>297</v>
      </c>
      <c r="T139" s="330">
        <v>10</v>
      </c>
      <c r="U139" s="331">
        <f t="shared" si="40"/>
        <v>7</v>
      </c>
      <c r="V139" s="323">
        <f t="shared" si="41"/>
        <v>44226</v>
      </c>
      <c r="W139" s="324">
        <v>0.66666666666666663</v>
      </c>
      <c r="X139" s="325">
        <f t="shared" si="18"/>
        <v>44226.666666666664</v>
      </c>
      <c r="Y139" s="326">
        <f t="shared" si="23"/>
        <v>10</v>
      </c>
      <c r="Z139" s="326">
        <f t="shared" si="42"/>
        <v>1</v>
      </c>
      <c r="AA139" s="194">
        <v>66650</v>
      </c>
      <c r="AB139" s="196">
        <v>76381.569032464875</v>
      </c>
      <c r="AC139" s="196">
        <f t="shared" si="24"/>
        <v>-9731.5690324648749</v>
      </c>
      <c r="AD139" s="196">
        <v>68604.426774348656</v>
      </c>
      <c r="AE139" s="196">
        <f t="shared" si="25"/>
        <v>-1954.4267743486562</v>
      </c>
      <c r="AF139" s="196">
        <f t="shared" si="48"/>
        <v>3350</v>
      </c>
      <c r="AG139" s="197">
        <v>369</v>
      </c>
      <c r="AH139" s="329">
        <f t="shared" si="26"/>
        <v>180.62330623306232</v>
      </c>
      <c r="AI139" s="196">
        <f t="shared" si="31"/>
        <v>3350</v>
      </c>
      <c r="AJ139" s="196">
        <f t="shared" si="27"/>
        <v>6665</v>
      </c>
      <c r="AK139" s="334">
        <f t="shared" si="32"/>
        <v>19</v>
      </c>
      <c r="AL139" s="295">
        <f t="shared" si="43"/>
        <v>176.31578947368422</v>
      </c>
      <c r="AM139" s="295">
        <f t="shared" si="51"/>
        <v>178.50561797752809</v>
      </c>
      <c r="AN139" s="198">
        <f t="shared" si="33"/>
        <v>2.7160473808384884E-2</v>
      </c>
      <c r="AO139" s="198">
        <f t="shared" si="34"/>
        <v>0.54037181472503071</v>
      </c>
      <c r="AP139" s="278">
        <f t="shared" si="35"/>
        <v>2.9051987767584098E-2</v>
      </c>
      <c r="AQ139" s="278">
        <f>SUM(AP$128:AP139)</f>
        <v>0.56422018348623848</v>
      </c>
      <c r="AR139" s="198">
        <v>2.7735266006414881E-2</v>
      </c>
      <c r="AS139" s="198">
        <f t="shared" si="36"/>
        <v>0.47687652822488441</v>
      </c>
      <c r="AT139" s="278">
        <v>2.7777777777777776E-2</v>
      </c>
      <c r="AU139" s="278">
        <f>SUM(AT$128:AT139)</f>
        <v>0.46296296296296302</v>
      </c>
      <c r="AV139" s="236">
        <f t="shared" si="49"/>
        <v>143963.99999999997</v>
      </c>
      <c r="AW139" s="198">
        <v>5.9651936803272132E-2</v>
      </c>
      <c r="AX139" s="198">
        <f t="shared" si="37"/>
        <v>0.50664848825086217</v>
      </c>
      <c r="AY139" s="278">
        <v>5.4755043227665667E-2</v>
      </c>
      <c r="AZ139" s="278">
        <f>SUM(AY$128:AY139)</f>
        <v>0.46397694524495675</v>
      </c>
      <c r="BA139" s="236">
        <f t="shared" si="50"/>
        <v>143649.37888198759</v>
      </c>
      <c r="BB139" s="236"/>
      <c r="BC139" s="373"/>
      <c r="BD139" s="236"/>
      <c r="BE139" s="278">
        <f t="shared" si="38"/>
        <v>4.3693601404843505E-2</v>
      </c>
      <c r="BF139" s="278">
        <f t="shared" si="39"/>
        <v>4.1266410502721722E-2</v>
      </c>
    </row>
    <row r="140" spans="1:58" s="179" customFormat="1" x14ac:dyDescent="0.3">
      <c r="A140" s="192"/>
      <c r="B140" s="192"/>
      <c r="C140" s="177"/>
      <c r="G140" s="342">
        <v>11</v>
      </c>
      <c r="H140" s="367" t="s">
        <v>34</v>
      </c>
      <c r="I140" s="462">
        <f t="shared" si="44"/>
        <v>69668</v>
      </c>
      <c r="J140" s="463">
        <f t="shared" si="45"/>
        <v>72453.556253803297</v>
      </c>
      <c r="K140" s="463">
        <f t="shared" si="46"/>
        <v>81513.74167173772</v>
      </c>
      <c r="L140" s="345">
        <f t="shared" si="20"/>
        <v>0.56484056396494275</v>
      </c>
      <c r="M140" s="347">
        <f t="shared" si="28"/>
        <v>2.4468749239912158E-2</v>
      </c>
      <c r="N140" s="345">
        <f t="shared" si="21"/>
        <v>0.5661451374372215</v>
      </c>
      <c r="O140" s="347">
        <f t="shared" si="29"/>
        <v>3.0076728470386449E-2</v>
      </c>
      <c r="P140" s="345">
        <f t="shared" si="22"/>
        <v>0.47770541780009917</v>
      </c>
      <c r="Q140" s="349">
        <f t="shared" si="30"/>
        <v>3.0076728470386338E-2</v>
      </c>
      <c r="R140" s="413"/>
      <c r="S140" s="193" t="s">
        <v>298</v>
      </c>
      <c r="T140" s="330">
        <v>11</v>
      </c>
      <c r="U140" s="331">
        <f t="shared" si="40"/>
        <v>1</v>
      </c>
      <c r="V140" s="323">
        <f t="shared" si="41"/>
        <v>44227</v>
      </c>
      <c r="W140" s="324">
        <v>0.66666666666666663</v>
      </c>
      <c r="X140" s="325">
        <f t="shared" si="18"/>
        <v>44227.666666666664</v>
      </c>
      <c r="Y140" s="326">
        <f t="shared" si="23"/>
        <v>11</v>
      </c>
      <c r="Z140" s="326">
        <f t="shared" si="42"/>
        <v>1</v>
      </c>
      <c r="AA140" s="194">
        <v>69668</v>
      </c>
      <c r="AB140" s="196">
        <v>81513.74167173772</v>
      </c>
      <c r="AC140" s="196">
        <f t="shared" si="24"/>
        <v>-11845.74167173772</v>
      </c>
      <c r="AD140" s="196">
        <v>72453.556253803297</v>
      </c>
      <c r="AE140" s="196">
        <f t="shared" si="25"/>
        <v>-2785.5562538032973</v>
      </c>
      <c r="AF140" s="196">
        <f t="shared" si="48"/>
        <v>3018</v>
      </c>
      <c r="AG140" s="197">
        <v>386</v>
      </c>
      <c r="AH140" s="329">
        <f t="shared" si="26"/>
        <v>180.48704663212436</v>
      </c>
      <c r="AI140" s="196">
        <f t="shared" si="31"/>
        <v>3018</v>
      </c>
      <c r="AJ140" s="196">
        <f t="shared" si="27"/>
        <v>6333.454545454545</v>
      </c>
      <c r="AK140" s="334">
        <f t="shared" si="32"/>
        <v>17</v>
      </c>
      <c r="AL140" s="295">
        <f t="shared" si="43"/>
        <v>177.52941176470588</v>
      </c>
      <c r="AM140" s="295">
        <f t="shared" si="51"/>
        <v>172.16304347826087</v>
      </c>
      <c r="AN140" s="198">
        <f t="shared" si="33"/>
        <v>2.4468749239912112E-2</v>
      </c>
      <c r="AO140" s="198">
        <f t="shared" si="34"/>
        <v>0.56484056396494287</v>
      </c>
      <c r="AP140" s="278">
        <f t="shared" si="35"/>
        <v>2.5993883792048929E-2</v>
      </c>
      <c r="AQ140" s="278">
        <f>SUM(AP$128:AP140)</f>
        <v>0.5902140672782874</v>
      </c>
      <c r="AR140" s="198">
        <v>1.0173506664086642E-2</v>
      </c>
      <c r="AS140" s="198">
        <f t="shared" si="36"/>
        <v>0.48705003488897103</v>
      </c>
      <c r="AT140" s="278">
        <v>7.9365079365079361E-3</v>
      </c>
      <c r="AU140" s="278">
        <f>SUM(AT$128:AT140)</f>
        <v>0.47089947089947093</v>
      </c>
      <c r="AV140" s="236">
        <f t="shared" si="49"/>
        <v>147946.65168539324</v>
      </c>
      <c r="AW140" s="198">
        <v>4.9979950276686114E-2</v>
      </c>
      <c r="AX140" s="198">
        <f t="shared" si="37"/>
        <v>0.55662843852754829</v>
      </c>
      <c r="AY140" s="278">
        <v>4.8991354466858816E-2</v>
      </c>
      <c r="AZ140" s="278">
        <f>SUM(AY$128:AY140)</f>
        <v>0.51296829971181557</v>
      </c>
      <c r="BA140" s="236">
        <f>$AA140/AZ140</f>
        <v>135813.46067415731</v>
      </c>
      <c r="BB140" s="236"/>
      <c r="BC140" s="198"/>
      <c r="BD140" s="236"/>
      <c r="BE140" s="278">
        <f t="shared" si="38"/>
        <v>3.007672847038638E-2</v>
      </c>
      <c r="BF140" s="278">
        <f t="shared" si="39"/>
        <v>2.8463931201683376E-2</v>
      </c>
    </row>
    <row r="141" spans="1:58" s="179" customFormat="1" x14ac:dyDescent="0.3">
      <c r="A141" s="192"/>
      <c r="B141" s="192"/>
      <c r="C141" s="177"/>
      <c r="G141" s="342">
        <v>12</v>
      </c>
      <c r="H141" s="367" t="s">
        <v>35</v>
      </c>
      <c r="I141" s="462">
        <f t="shared" si="44"/>
        <v>71286</v>
      </c>
      <c r="J141" s="463">
        <f t="shared" si="45"/>
        <v>75956.885176096912</v>
      </c>
      <c r="K141" s="463">
        <f t="shared" si="46"/>
        <v>86184.846901462544</v>
      </c>
      <c r="L141" s="345">
        <f t="shared" si="20"/>
        <v>0.57795866743418656</v>
      </c>
      <c r="M141" s="347">
        <f t="shared" si="28"/>
        <v>1.3118103469243803E-2</v>
      </c>
      <c r="N141" s="345">
        <f t="shared" si="21"/>
        <v>0.59351981352975081</v>
      </c>
      <c r="O141" s="347">
        <f t="shared" si="29"/>
        <v>2.7374676092529304E-2</v>
      </c>
      <c r="P141" s="345">
        <f t="shared" si="22"/>
        <v>0.50508009389262842</v>
      </c>
      <c r="Q141" s="349">
        <f t="shared" si="30"/>
        <v>2.7374676092529249E-2</v>
      </c>
      <c r="R141" s="413"/>
      <c r="S141" s="193" t="s">
        <v>299</v>
      </c>
      <c r="T141" s="330">
        <v>12</v>
      </c>
      <c r="U141" s="331">
        <f t="shared" si="40"/>
        <v>2</v>
      </c>
      <c r="V141" s="323">
        <f t="shared" si="41"/>
        <v>44228</v>
      </c>
      <c r="W141" s="324">
        <v>0.66666666666666663</v>
      </c>
      <c r="X141" s="325">
        <f t="shared" si="18"/>
        <v>44228.666666666664</v>
      </c>
      <c r="Y141" s="326">
        <f t="shared" si="23"/>
        <v>12</v>
      </c>
      <c r="Z141" s="326">
        <f t="shared" si="42"/>
        <v>1</v>
      </c>
      <c r="AA141" s="194">
        <v>71286</v>
      </c>
      <c r="AB141" s="196">
        <v>86184.846901462544</v>
      </c>
      <c r="AC141" s="196">
        <f t="shared" si="24"/>
        <v>-14898.846901462544</v>
      </c>
      <c r="AD141" s="196">
        <v>75956.885176096912</v>
      </c>
      <c r="AE141" s="196">
        <f t="shared" si="25"/>
        <v>-4670.8851760969119</v>
      </c>
      <c r="AF141" s="196">
        <f t="shared" si="48"/>
        <v>1618</v>
      </c>
      <c r="AG141" s="197">
        <v>395</v>
      </c>
      <c r="AH141" s="329">
        <f t="shared" si="26"/>
        <v>180.47088607594938</v>
      </c>
      <c r="AI141" s="196">
        <f t="shared" si="31"/>
        <v>1618</v>
      </c>
      <c r="AJ141" s="196">
        <f t="shared" si="27"/>
        <v>5940.5</v>
      </c>
      <c r="AK141" s="334">
        <f t="shared" si="32"/>
        <v>9</v>
      </c>
      <c r="AL141" s="295">
        <f t="shared" si="43"/>
        <v>179.77777777777777</v>
      </c>
      <c r="AM141" s="295">
        <f t="shared" si="51"/>
        <v>175.91954022988506</v>
      </c>
      <c r="AN141" s="198">
        <f t="shared" si="33"/>
        <v>1.3118103469243804E-2</v>
      </c>
      <c r="AO141" s="293">
        <f t="shared" si="34"/>
        <v>0.57795866743418667</v>
      </c>
      <c r="AP141" s="278">
        <f t="shared" si="35"/>
        <v>1.3761467889908258E-2</v>
      </c>
      <c r="AQ141" s="278">
        <f>SUM(AP$128:AP141)</f>
        <v>0.60397553516819569</v>
      </c>
      <c r="AR141" s="198">
        <v>1.8130537524700806E-2</v>
      </c>
      <c r="AS141" s="293">
        <f t="shared" si="36"/>
        <v>0.50518057241367187</v>
      </c>
      <c r="AT141" s="278">
        <v>1.984126984126984E-2</v>
      </c>
      <c r="AU141" s="278">
        <f>SUM(AT$128:AT141)</f>
        <v>0.49074074074074076</v>
      </c>
      <c r="AV141" s="236">
        <f t="shared" si="49"/>
        <v>145262.03773584907</v>
      </c>
      <c r="AW141" s="198">
        <v>3.6618814660357768E-2</v>
      </c>
      <c r="AX141" s="293">
        <f t="shared" si="37"/>
        <v>0.59324725318790605</v>
      </c>
      <c r="AY141" s="278">
        <v>4.3227665706051854E-2</v>
      </c>
      <c r="AZ141" s="278">
        <f>SUM(AY$128:AY141)</f>
        <v>0.55619596541786742</v>
      </c>
      <c r="BA141" s="236">
        <f t="shared" ref="BA141:BA150" si="52">$AA141/AZ141</f>
        <v>128167.05699481866</v>
      </c>
      <c r="BB141" s="236">
        <v>125000</v>
      </c>
      <c r="BC141" s="293">
        <f>BB141/$BB$151</f>
        <v>0.46992481203007519</v>
      </c>
      <c r="BD141" s="236">
        <f>$AA141/BC141</f>
        <v>151696.60800000001</v>
      </c>
      <c r="BE141" s="278">
        <f t="shared" si="38"/>
        <v>2.7374676092529287E-2</v>
      </c>
      <c r="BF141" s="278">
        <f t="shared" si="39"/>
        <v>3.1534467773660847E-2</v>
      </c>
    </row>
    <row r="142" spans="1:58" s="179" customFormat="1" x14ac:dyDescent="0.3">
      <c r="A142" s="192"/>
      <c r="B142" s="192"/>
      <c r="C142" s="177"/>
      <c r="G142" s="342">
        <v>13</v>
      </c>
      <c r="H142" s="367" t="s">
        <v>36</v>
      </c>
      <c r="I142" s="462">
        <f t="shared" si="44"/>
        <v>74079</v>
      </c>
      <c r="J142" s="463">
        <f t="shared" si="45"/>
        <v>77784.920108112157</v>
      </c>
      <c r="K142" s="463">
        <f t="shared" si="46"/>
        <v>88622.22681081621</v>
      </c>
      <c r="L142" s="345">
        <f t="shared" si="20"/>
        <v>0.60060320574666981</v>
      </c>
      <c r="M142" s="347">
        <f t="shared" si="28"/>
        <v>2.2644538312483253E-2</v>
      </c>
      <c r="N142" s="345">
        <f t="shared" si="21"/>
        <v>0.60780390310846599</v>
      </c>
      <c r="O142" s="347">
        <f t="shared" si="29"/>
        <v>1.4284089578715187E-2</v>
      </c>
      <c r="P142" s="345">
        <f t="shared" si="22"/>
        <v>0.51936418347134372</v>
      </c>
      <c r="Q142" s="349">
        <f t="shared" si="30"/>
        <v>1.4284089578715298E-2</v>
      </c>
      <c r="R142" s="413"/>
      <c r="S142" s="193" t="s">
        <v>306</v>
      </c>
      <c r="T142" s="330">
        <v>13</v>
      </c>
      <c r="U142" s="331">
        <f t="shared" si="40"/>
        <v>3</v>
      </c>
      <c r="V142" s="323">
        <f t="shared" si="41"/>
        <v>44229</v>
      </c>
      <c r="W142" s="324">
        <v>0.66666666666666663</v>
      </c>
      <c r="X142" s="325">
        <f t="shared" si="18"/>
        <v>44229.666666666664</v>
      </c>
      <c r="Y142" s="326">
        <f t="shared" si="23"/>
        <v>13</v>
      </c>
      <c r="Z142" s="326">
        <f t="shared" si="42"/>
        <v>1</v>
      </c>
      <c r="AA142" s="194">
        <v>74079</v>
      </c>
      <c r="AB142" s="196">
        <v>88622.22681081621</v>
      </c>
      <c r="AC142" s="196">
        <f t="shared" si="24"/>
        <v>-14543.22681081621</v>
      </c>
      <c r="AD142" s="196">
        <v>77784.920108112157</v>
      </c>
      <c r="AE142" s="196">
        <f t="shared" si="25"/>
        <v>-3705.9201081121573</v>
      </c>
      <c r="AF142" s="196">
        <f t="shared" si="48"/>
        <v>2793</v>
      </c>
      <c r="AG142" s="197">
        <v>410</v>
      </c>
      <c r="AH142" s="329">
        <f t="shared" si="26"/>
        <v>180.68048780487806</v>
      </c>
      <c r="AI142" s="196">
        <f t="shared" si="31"/>
        <v>2793</v>
      </c>
      <c r="AJ142" s="196">
        <f t="shared" si="27"/>
        <v>5698.3846153846152</v>
      </c>
      <c r="AK142" s="334">
        <f t="shared" si="32"/>
        <v>15</v>
      </c>
      <c r="AL142" s="295">
        <f t="shared" si="43"/>
        <v>186.2</v>
      </c>
      <c r="AM142" s="295">
        <f t="shared" si="51"/>
        <v>179.81176470588235</v>
      </c>
      <c r="AN142" s="198">
        <f t="shared" si="33"/>
        <v>2.2644538312483278E-2</v>
      </c>
      <c r="AO142" s="198">
        <f t="shared" si="34"/>
        <v>0.60060320574666992</v>
      </c>
      <c r="AP142" s="278">
        <f t="shared" si="35"/>
        <v>2.2935779816513763E-2</v>
      </c>
      <c r="AQ142" s="278">
        <f>SUM(AP$128:AP142)</f>
        <v>0.62691131498470942</v>
      </c>
      <c r="AR142" s="198">
        <v>1.7051618085973462E-2</v>
      </c>
      <c r="AS142" s="198">
        <f t="shared" si="36"/>
        <v>0.52223219049964531</v>
      </c>
      <c r="AT142" s="278">
        <v>1.984126984126984E-2</v>
      </c>
      <c r="AU142" s="278">
        <f>SUM(AT$128:AT142)</f>
        <v>0.51058201058201058</v>
      </c>
      <c r="AV142" s="236">
        <f t="shared" si="49"/>
        <v>145087.36787564767</v>
      </c>
      <c r="AW142" s="198">
        <v>1.1516561071457154E-2</v>
      </c>
      <c r="AX142" s="198">
        <f t="shared" si="37"/>
        <v>0.60476381425936321</v>
      </c>
      <c r="AY142" s="278">
        <v>1.1527377521613813E-2</v>
      </c>
      <c r="AZ142" s="278">
        <f>SUM(AY$128:AY142)</f>
        <v>0.56772334293948123</v>
      </c>
      <c r="BA142" s="236">
        <f t="shared" si="52"/>
        <v>130484.32994923858</v>
      </c>
      <c r="BB142" s="236"/>
      <c r="BC142" s="198"/>
      <c r="BD142" s="236"/>
      <c r="BE142" s="278">
        <f t="shared" si="38"/>
        <v>1.4284089578715308E-2</v>
      </c>
      <c r="BF142" s="278">
        <f t="shared" si="39"/>
        <v>1.5684323681441827E-2</v>
      </c>
    </row>
    <row r="143" spans="1:58" s="179" customFormat="1" x14ac:dyDescent="0.3">
      <c r="A143" s="192"/>
      <c r="B143" s="192"/>
      <c r="C143" s="177"/>
      <c r="G143" s="342">
        <v>14</v>
      </c>
      <c r="H143" s="367" t="s">
        <v>37</v>
      </c>
      <c r="I143" s="462">
        <f t="shared" si="44"/>
        <v>75411</v>
      </c>
      <c r="J143" s="463">
        <f t="shared" si="45"/>
        <v>80162.45497421849</v>
      </c>
      <c r="K143" s="463">
        <f t="shared" si="46"/>
        <v>91792.273298957996</v>
      </c>
      <c r="L143" s="345">
        <f t="shared" si="20"/>
        <v>0.61140253443704851</v>
      </c>
      <c r="M143" s="347">
        <f t="shared" si="28"/>
        <v>1.0799328690378696E-2</v>
      </c>
      <c r="N143" s="345">
        <f t="shared" si="21"/>
        <v>0.62638173245363227</v>
      </c>
      <c r="O143" s="347">
        <f t="shared" si="29"/>
        <v>1.8577829345166275E-2</v>
      </c>
      <c r="P143" s="345">
        <f t="shared" si="22"/>
        <v>0.53794201281651</v>
      </c>
      <c r="Q143" s="349">
        <f t="shared" si="30"/>
        <v>1.8577829345166275E-2</v>
      </c>
      <c r="R143" s="413"/>
      <c r="S143" s="193" t="s">
        <v>309</v>
      </c>
      <c r="T143" s="330">
        <v>14</v>
      </c>
      <c r="U143" s="331">
        <f t="shared" si="40"/>
        <v>4</v>
      </c>
      <c r="V143" s="323">
        <f t="shared" si="41"/>
        <v>44230</v>
      </c>
      <c r="W143" s="324">
        <v>0.66666666666666663</v>
      </c>
      <c r="X143" s="325">
        <f t="shared" si="18"/>
        <v>44230.666666666664</v>
      </c>
      <c r="Y143" s="326">
        <f t="shared" si="23"/>
        <v>14</v>
      </c>
      <c r="Z143" s="326">
        <f t="shared" si="42"/>
        <v>1</v>
      </c>
      <c r="AA143" s="194">
        <v>75411</v>
      </c>
      <c r="AB143" s="196">
        <v>91792.273298957996</v>
      </c>
      <c r="AC143" s="196">
        <f t="shared" si="24"/>
        <v>-16381.273298957996</v>
      </c>
      <c r="AD143" s="196">
        <v>80162.45497421849</v>
      </c>
      <c r="AE143" s="196">
        <f t="shared" si="25"/>
        <v>-4751.45497421849</v>
      </c>
      <c r="AF143" s="196">
        <f t="shared" si="48"/>
        <v>1332</v>
      </c>
      <c r="AG143" s="197">
        <v>417</v>
      </c>
      <c r="AH143" s="329">
        <f t="shared" si="26"/>
        <v>180.84172661870502</v>
      </c>
      <c r="AI143" s="196">
        <f t="shared" si="31"/>
        <v>1332</v>
      </c>
      <c r="AJ143" s="196">
        <f t="shared" si="27"/>
        <v>5386.5</v>
      </c>
      <c r="AK143" s="334">
        <f t="shared" si="32"/>
        <v>7</v>
      </c>
      <c r="AL143" s="295">
        <f t="shared" si="43"/>
        <v>190.28571428571428</v>
      </c>
      <c r="AM143" s="295">
        <f t="shared" si="51"/>
        <v>180.76119402985074</v>
      </c>
      <c r="AN143" s="198">
        <f t="shared" si="33"/>
        <v>1.0799328690378706E-2</v>
      </c>
      <c r="AO143" s="198">
        <f t="shared" si="34"/>
        <v>0.61140253443704862</v>
      </c>
      <c r="AP143" s="278">
        <f t="shared" si="35"/>
        <v>1.0703363914373088E-2</v>
      </c>
      <c r="AQ143" s="278">
        <f>SUM(AP$128:AP143)</f>
        <v>0.63761467889908252</v>
      </c>
      <c r="AR143" s="198">
        <v>2.3730363959399793E-2</v>
      </c>
      <c r="AS143" s="198">
        <f t="shared" si="36"/>
        <v>0.54596255445904507</v>
      </c>
      <c r="AT143" s="278">
        <v>2.2486772486772486E-2</v>
      </c>
      <c r="AU143" s="278">
        <f>SUM(AT$128:AT143)</f>
        <v>0.53306878306878303</v>
      </c>
      <c r="AV143" s="236">
        <f t="shared" si="49"/>
        <v>141465.79652605459</v>
      </c>
      <c r="AW143" s="198">
        <v>1.342529473093268E-2</v>
      </c>
      <c r="AX143" s="198">
        <f t="shared" si="37"/>
        <v>0.61818910899029589</v>
      </c>
      <c r="AY143" s="278">
        <v>2.3054755043227737E-2</v>
      </c>
      <c r="AZ143" s="278">
        <f>SUM(AY$128:AY143)</f>
        <v>0.59077809798270897</v>
      </c>
      <c r="BA143" s="236">
        <f t="shared" si="52"/>
        <v>127646.91219512194</v>
      </c>
      <c r="BB143" s="236"/>
      <c r="BC143" s="198"/>
      <c r="BD143" s="236"/>
      <c r="BE143" s="278">
        <f t="shared" si="38"/>
        <v>1.8577829345166236E-2</v>
      </c>
      <c r="BF143" s="278">
        <f t="shared" si="39"/>
        <v>2.2770763765000111E-2</v>
      </c>
    </row>
    <row r="144" spans="1:58" s="179" customFormat="1" x14ac:dyDescent="0.3">
      <c r="A144" s="192"/>
      <c r="B144" s="192"/>
      <c r="C144" s="177"/>
      <c r="G144" s="342">
        <v>15</v>
      </c>
      <c r="H144" s="367" t="s">
        <v>38</v>
      </c>
      <c r="I144" s="462">
        <f t="shared" si="44"/>
        <v>77016</v>
      </c>
      <c r="J144" s="463">
        <f t="shared" si="45"/>
        <v>83706.272285345913</v>
      </c>
      <c r="K144" s="463">
        <f t="shared" si="46"/>
        <v>96517.363047127888</v>
      </c>
      <c r="L144" s="345">
        <f t="shared" si="20"/>
        <v>0.62441523905270757</v>
      </c>
      <c r="M144" s="347">
        <f t="shared" si="28"/>
        <v>1.3012704615659065E-2</v>
      </c>
      <c r="N144" s="345">
        <f t="shared" si="21"/>
        <v>0.65407278093208865</v>
      </c>
      <c r="O144" s="347">
        <f t="shared" si="29"/>
        <v>2.7691048478456382E-2</v>
      </c>
      <c r="P144" s="345">
        <f t="shared" si="22"/>
        <v>0.56563306129496638</v>
      </c>
      <c r="Q144" s="349">
        <f t="shared" si="30"/>
        <v>2.7691048478456382E-2</v>
      </c>
      <c r="R144" s="413"/>
      <c r="S144" s="193"/>
      <c r="T144" s="330">
        <v>15</v>
      </c>
      <c r="U144" s="331">
        <f t="shared" si="40"/>
        <v>5</v>
      </c>
      <c r="V144" s="323">
        <f t="shared" si="41"/>
        <v>44231</v>
      </c>
      <c r="W144" s="324">
        <v>0.66666666666666663</v>
      </c>
      <c r="X144" s="325">
        <f t="shared" si="18"/>
        <v>44231.666666666664</v>
      </c>
      <c r="Y144" s="326">
        <f t="shared" si="23"/>
        <v>15</v>
      </c>
      <c r="Z144" s="326">
        <f t="shared" si="42"/>
        <v>1</v>
      </c>
      <c r="AA144" s="194">
        <v>77016</v>
      </c>
      <c r="AB144" s="196">
        <v>96517.363047127888</v>
      </c>
      <c r="AC144" s="196">
        <f t="shared" si="24"/>
        <v>-19501.363047127888</v>
      </c>
      <c r="AD144" s="196">
        <v>83706.272285345913</v>
      </c>
      <c r="AE144" s="196">
        <f t="shared" si="25"/>
        <v>-6690.2722853459127</v>
      </c>
      <c r="AF144" s="196">
        <f t="shared" si="48"/>
        <v>1605</v>
      </c>
      <c r="AG144" s="197">
        <v>427</v>
      </c>
      <c r="AH144" s="329">
        <f t="shared" si="26"/>
        <v>180.36533957845432</v>
      </c>
      <c r="AI144" s="196">
        <f t="shared" si="31"/>
        <v>1605</v>
      </c>
      <c r="AJ144" s="196">
        <f t="shared" si="27"/>
        <v>5134.3999999999996</v>
      </c>
      <c r="AK144" s="334">
        <f t="shared" si="32"/>
        <v>10</v>
      </c>
      <c r="AL144" s="295">
        <f t="shared" si="43"/>
        <v>160.5</v>
      </c>
      <c r="AM144" s="295">
        <f t="shared" si="51"/>
        <v>178.72413793103448</v>
      </c>
      <c r="AN144" s="198">
        <f t="shared" si="33"/>
        <v>1.3012704615659027E-2</v>
      </c>
      <c r="AO144" s="198">
        <f t="shared" si="34"/>
        <v>0.62441523905270768</v>
      </c>
      <c r="AP144" s="278">
        <f t="shared" si="35"/>
        <v>1.5290519877675841E-2</v>
      </c>
      <c r="AQ144" s="278">
        <f>SUM(AP$128:AP144)</f>
        <v>0.65290519877675834</v>
      </c>
      <c r="AR144" s="198">
        <v>2.5548108665951298E-2</v>
      </c>
      <c r="AS144" s="198">
        <f t="shared" si="36"/>
        <v>0.57151066312499632</v>
      </c>
      <c r="AT144" s="278">
        <v>2.5132275132275131E-2</v>
      </c>
      <c r="AU144" s="278">
        <f>SUM(AT$128:AT144)</f>
        <v>0.55820105820105814</v>
      </c>
      <c r="AV144" s="236">
        <f t="shared" si="49"/>
        <v>137971.79146919432</v>
      </c>
      <c r="AW144" s="198">
        <v>2.9833988290961622E-2</v>
      </c>
      <c r="AX144" s="198">
        <f t="shared" si="37"/>
        <v>0.64802309728125751</v>
      </c>
      <c r="AY144" s="278">
        <v>2.5936599423631135E-2</v>
      </c>
      <c r="AZ144" s="278">
        <f>SUM(AY$128:AY144)</f>
        <v>0.61671469740634011</v>
      </c>
      <c r="BA144" s="236">
        <f t="shared" si="52"/>
        <v>124881.08411214952</v>
      </c>
      <c r="BB144" s="236"/>
      <c r="BC144" s="198"/>
      <c r="BD144" s="236"/>
      <c r="BE144" s="278">
        <f t="shared" si="38"/>
        <v>2.7691048478456458E-2</v>
      </c>
      <c r="BF144" s="278">
        <f t="shared" si="39"/>
        <v>2.5534437277953133E-2</v>
      </c>
    </row>
    <row r="145" spans="1:58" s="179" customFormat="1" x14ac:dyDescent="0.3">
      <c r="A145" s="192"/>
      <c r="B145" s="192"/>
      <c r="C145" s="177"/>
      <c r="G145" s="342">
        <v>16</v>
      </c>
      <c r="H145" s="367" t="s">
        <v>39</v>
      </c>
      <c r="I145" s="462">
        <f t="shared" si="44"/>
        <v>80049</v>
      </c>
      <c r="J145" s="463">
        <f t="shared" si="45"/>
        <v>87877.726666898467</v>
      </c>
      <c r="K145" s="463">
        <f t="shared" si="46"/>
        <v>102079.30222253129</v>
      </c>
      <c r="L145" s="345">
        <f t="shared" si="20"/>
        <v>0.64900560235444826</v>
      </c>
      <c r="M145" s="347">
        <f t="shared" si="28"/>
        <v>2.4590363301740692E-2</v>
      </c>
      <c r="N145" s="345">
        <f t="shared" si="21"/>
        <v>0.68666812526390264</v>
      </c>
      <c r="O145" s="347">
        <f t="shared" si="29"/>
        <v>3.2595344331813991E-2</v>
      </c>
      <c r="P145" s="345">
        <f t="shared" si="22"/>
        <v>0.59822840562678037</v>
      </c>
      <c r="Q145" s="349">
        <f t="shared" si="30"/>
        <v>3.2595344331813991E-2</v>
      </c>
      <c r="R145" s="413"/>
      <c r="S145" s="193" t="s">
        <v>317</v>
      </c>
      <c r="T145" s="330">
        <v>16</v>
      </c>
      <c r="U145" s="331">
        <f t="shared" si="40"/>
        <v>6</v>
      </c>
      <c r="V145" s="323">
        <f t="shared" si="41"/>
        <v>44232</v>
      </c>
      <c r="W145" s="324">
        <v>0.66666666666666663</v>
      </c>
      <c r="X145" s="325">
        <f t="shared" si="18"/>
        <v>44232.666666666664</v>
      </c>
      <c r="Y145" s="326">
        <f t="shared" si="23"/>
        <v>16</v>
      </c>
      <c r="Z145" s="326">
        <f t="shared" si="42"/>
        <v>1</v>
      </c>
      <c r="AA145" s="194">
        <v>80049</v>
      </c>
      <c r="AB145" s="196">
        <v>102079.30222253129</v>
      </c>
      <c r="AC145" s="196">
        <f t="shared" si="24"/>
        <v>-22030.302222531289</v>
      </c>
      <c r="AD145" s="196">
        <v>87877.726666898467</v>
      </c>
      <c r="AE145" s="196">
        <f t="shared" si="25"/>
        <v>-7828.7266668984666</v>
      </c>
      <c r="AF145" s="196">
        <f t="shared" si="48"/>
        <v>3033</v>
      </c>
      <c r="AG145" s="197">
        <v>444</v>
      </c>
      <c r="AH145" s="329">
        <f t="shared" si="26"/>
        <v>180.29054054054055</v>
      </c>
      <c r="AI145" s="196">
        <f t="shared" si="31"/>
        <v>3033</v>
      </c>
      <c r="AJ145" s="196">
        <f t="shared" si="27"/>
        <v>5003.0625</v>
      </c>
      <c r="AK145" s="334">
        <f t="shared" si="32"/>
        <v>17</v>
      </c>
      <c r="AL145" s="295">
        <f t="shared" si="43"/>
        <v>178.41176470588235</v>
      </c>
      <c r="AM145" s="295">
        <f t="shared" si="51"/>
        <v>178.98275862068965</v>
      </c>
      <c r="AN145" s="198">
        <f t="shared" si="33"/>
        <v>2.4590363301740702E-2</v>
      </c>
      <c r="AO145" s="198">
        <f t="shared" si="34"/>
        <v>0.64900560235444837</v>
      </c>
      <c r="AP145" s="278">
        <f t="shared" si="35"/>
        <v>2.5993883792048929E-2</v>
      </c>
      <c r="AQ145" s="278">
        <f>SUM(AP$128:AP145)</f>
        <v>0.67889908256880727</v>
      </c>
      <c r="AR145" s="198">
        <v>3.5100063914249358E-2</v>
      </c>
      <c r="AS145" s="198">
        <f t="shared" si="36"/>
        <v>0.60661072703924568</v>
      </c>
      <c r="AT145" s="278">
        <v>3.0423280423280422E-2</v>
      </c>
      <c r="AU145" s="278">
        <f>SUM(AT$128:AT145)</f>
        <v>0.58862433862433861</v>
      </c>
      <c r="AV145" s="236">
        <f t="shared" si="49"/>
        <v>135993.35730337078</v>
      </c>
      <c r="AW145" s="198">
        <v>3.0090624749378514E-2</v>
      </c>
      <c r="AX145" s="198">
        <f t="shared" si="37"/>
        <v>0.67811372203063602</v>
      </c>
      <c r="AY145" s="278">
        <v>2.8818443804034533E-2</v>
      </c>
      <c r="AZ145" s="278">
        <f>SUM(AY$128:AY145)</f>
        <v>0.64553314121037464</v>
      </c>
      <c r="BA145" s="236">
        <f t="shared" si="52"/>
        <v>124004.47767857143</v>
      </c>
      <c r="BB145" s="236"/>
      <c r="BC145" s="198"/>
      <c r="BD145" s="236"/>
      <c r="BE145" s="278">
        <f t="shared" si="38"/>
        <v>3.2595344331813936E-2</v>
      </c>
      <c r="BF145" s="278">
        <f t="shared" si="39"/>
        <v>2.9620862113657477E-2</v>
      </c>
    </row>
    <row r="146" spans="1:58" s="179" customFormat="1" x14ac:dyDescent="0.3">
      <c r="A146" s="192"/>
      <c r="B146" s="192"/>
      <c r="C146" s="177"/>
      <c r="G146" s="342">
        <v>17</v>
      </c>
      <c r="H146" s="367" t="s">
        <v>40</v>
      </c>
      <c r="I146" s="462">
        <f t="shared" si="44"/>
        <v>86833</v>
      </c>
      <c r="J146" s="463">
        <f t="shared" si="45"/>
        <v>91973.07362101406</v>
      </c>
      <c r="K146" s="463">
        <f t="shared" si="46"/>
        <v>107539.76482801876</v>
      </c>
      <c r="L146" s="345">
        <f t="shared" si="20"/>
        <v>0.70400758871745805</v>
      </c>
      <c r="M146" s="347">
        <f t="shared" si="28"/>
        <v>5.5001986363009792E-2</v>
      </c>
      <c r="N146" s="345">
        <f t="shared" si="21"/>
        <v>0.71866877345940339</v>
      </c>
      <c r="O146" s="347">
        <f t="shared" si="29"/>
        <v>3.2000648195500747E-2</v>
      </c>
      <c r="P146" s="345">
        <f t="shared" si="22"/>
        <v>0.63022905382228112</v>
      </c>
      <c r="Q146" s="349">
        <f t="shared" si="30"/>
        <v>3.2000648195500747E-2</v>
      </c>
      <c r="R146" s="413"/>
      <c r="S146" s="193" t="s">
        <v>318</v>
      </c>
      <c r="T146" s="330">
        <v>17</v>
      </c>
      <c r="U146" s="331">
        <f t="shared" si="40"/>
        <v>7</v>
      </c>
      <c r="V146" s="323">
        <f t="shared" si="41"/>
        <v>44233</v>
      </c>
      <c r="W146" s="324">
        <v>0.66666666666666663</v>
      </c>
      <c r="X146" s="325">
        <f t="shared" si="18"/>
        <v>44233.666666666664</v>
      </c>
      <c r="Y146" s="326">
        <f t="shared" si="23"/>
        <v>17</v>
      </c>
      <c r="Z146" s="326">
        <f t="shared" si="42"/>
        <v>1</v>
      </c>
      <c r="AA146" s="194">
        <v>86833</v>
      </c>
      <c r="AB146" s="196">
        <v>107539.76482801876</v>
      </c>
      <c r="AC146" s="196">
        <f t="shared" si="24"/>
        <v>-20706.764828018757</v>
      </c>
      <c r="AD146" s="196">
        <v>91973.07362101406</v>
      </c>
      <c r="AE146" s="196">
        <f t="shared" si="25"/>
        <v>-5140.0736210140603</v>
      </c>
      <c r="AF146" s="196">
        <f t="shared" si="48"/>
        <v>6784</v>
      </c>
      <c r="AG146" s="197">
        <v>487</v>
      </c>
      <c r="AH146" s="329">
        <f t="shared" si="26"/>
        <v>178.30184804928132</v>
      </c>
      <c r="AI146" s="196">
        <f t="shared" si="31"/>
        <v>6784</v>
      </c>
      <c r="AJ146" s="196">
        <f t="shared" si="27"/>
        <v>5107.8235294117649</v>
      </c>
      <c r="AK146" s="334">
        <f t="shared" si="32"/>
        <v>43</v>
      </c>
      <c r="AL146" s="295">
        <f t="shared" si="43"/>
        <v>157.76744186046511</v>
      </c>
      <c r="AM146" s="295">
        <f t="shared" si="51"/>
        <v>168.9891304347826</v>
      </c>
      <c r="AN146" s="198">
        <f t="shared" si="33"/>
        <v>5.5001986363009868E-2</v>
      </c>
      <c r="AO146" s="198">
        <f t="shared" si="34"/>
        <v>0.70400758871745828</v>
      </c>
      <c r="AP146" s="278">
        <f t="shared" si="35"/>
        <v>6.5749235474006115E-2</v>
      </c>
      <c r="AQ146" s="278">
        <f>SUM(AP$128:AP146)</f>
        <v>0.7446483180428134</v>
      </c>
      <c r="AR146" s="198">
        <v>3.5739206407843276E-2</v>
      </c>
      <c r="AS146" s="198">
        <f t="shared" si="36"/>
        <v>0.64234993344708891</v>
      </c>
      <c r="AT146" s="278">
        <v>3.439153439153439E-2</v>
      </c>
      <c r="AU146" s="278">
        <f>SUM(AT131:AT146)</f>
        <v>0.38624338624338628</v>
      </c>
      <c r="AV146" s="236">
        <f>$AA146/(AU146+AU130)</f>
        <v>139375.26114649681</v>
      </c>
      <c r="AW146" s="198">
        <v>2.8262089983158156E-2</v>
      </c>
      <c r="AX146" s="198">
        <f t="shared" si="37"/>
        <v>0.70637581201379418</v>
      </c>
      <c r="AY146" s="278">
        <v>2.5936599423631135E-2</v>
      </c>
      <c r="AZ146" s="278">
        <f>SUM(AY131:AY146)</f>
        <v>0.46109510086455335</v>
      </c>
      <c r="BA146" s="236">
        <f>$AA146/(AZ146+AZ130)</f>
        <v>129317.81545064377</v>
      </c>
      <c r="BB146" s="236"/>
      <c r="BC146" s="198"/>
      <c r="BD146" s="236"/>
      <c r="BE146" s="278">
        <f t="shared" si="38"/>
        <v>3.2000648195500719E-2</v>
      </c>
      <c r="BF146" s="278">
        <f t="shared" si="39"/>
        <v>3.0164066907582762E-2</v>
      </c>
    </row>
    <row r="147" spans="1:58" s="179" customFormat="1" x14ac:dyDescent="0.3">
      <c r="A147" s="192"/>
      <c r="B147" s="192"/>
      <c r="C147" s="177"/>
      <c r="G147" s="342">
        <v>18</v>
      </c>
      <c r="H147" s="367" t="s">
        <v>41</v>
      </c>
      <c r="I147" s="462">
        <f t="shared" si="44"/>
        <v>91974</v>
      </c>
      <c r="J147" s="463">
        <f t="shared" si="45"/>
        <v>96867.794984193984</v>
      </c>
      <c r="K147" s="463">
        <f t="shared" si="46"/>
        <v>114066.05997892532</v>
      </c>
      <c r="L147" s="345">
        <f t="shared" si="20"/>
        <v>0.74568878150817652</v>
      </c>
      <c r="M147" s="347">
        <f t="shared" si="28"/>
        <v>4.1681192790718469E-2</v>
      </c>
      <c r="N147" s="345">
        <f t="shared" si="21"/>
        <v>0.75691565659606008</v>
      </c>
      <c r="O147" s="347">
        <f t="shared" si="29"/>
        <v>3.8246883136656695E-2</v>
      </c>
      <c r="P147" s="345">
        <f t="shared" si="22"/>
        <v>0.66847593695893781</v>
      </c>
      <c r="Q147" s="349">
        <f t="shared" si="30"/>
        <v>3.8246883136656695E-2</v>
      </c>
      <c r="R147" s="413"/>
      <c r="S147" s="193" t="s">
        <v>335</v>
      </c>
      <c r="T147" s="330">
        <v>18</v>
      </c>
      <c r="U147" s="331">
        <f t="shared" si="40"/>
        <v>1</v>
      </c>
      <c r="V147" s="323">
        <f t="shared" si="41"/>
        <v>44234</v>
      </c>
      <c r="W147" s="324">
        <v>0.66666666666666663</v>
      </c>
      <c r="X147" s="325">
        <f t="shared" si="18"/>
        <v>44234.666666666664</v>
      </c>
      <c r="Y147" s="326">
        <f t="shared" si="23"/>
        <v>18</v>
      </c>
      <c r="Z147" s="326">
        <f t="shared" si="42"/>
        <v>1</v>
      </c>
      <c r="AA147" s="194">
        <v>91974</v>
      </c>
      <c r="AB147" s="196">
        <v>114066.05997892532</v>
      </c>
      <c r="AC147" s="196">
        <f t="shared" si="24"/>
        <v>-22092.059978925317</v>
      </c>
      <c r="AD147" s="196">
        <v>96867.794984193984</v>
      </c>
      <c r="AE147" s="196">
        <f t="shared" si="25"/>
        <v>-4893.7949841939844</v>
      </c>
      <c r="AF147" s="196">
        <f t="shared" si="48"/>
        <v>5141</v>
      </c>
      <c r="AG147" s="197">
        <v>514</v>
      </c>
      <c r="AH147" s="329">
        <f t="shared" si="26"/>
        <v>178.93774319066148</v>
      </c>
      <c r="AI147" s="196">
        <f t="shared" si="31"/>
        <v>5141</v>
      </c>
      <c r="AJ147" s="196">
        <f t="shared" si="27"/>
        <v>5109.666666666667</v>
      </c>
      <c r="AK147" s="334">
        <f t="shared" si="32"/>
        <v>27</v>
      </c>
      <c r="AL147" s="295">
        <f t="shared" si="43"/>
        <v>190.40740740740742</v>
      </c>
      <c r="AM147" s="295">
        <f t="shared" si="51"/>
        <v>172.06730769230768</v>
      </c>
      <c r="AN147" s="198">
        <f t="shared" si="33"/>
        <v>4.1681192790718413E-2</v>
      </c>
      <c r="AO147" s="198">
        <f t="shared" si="34"/>
        <v>0.74568878150817675</v>
      </c>
      <c r="AP147" s="278">
        <f t="shared" si="35"/>
        <v>4.1284403669724773E-2</v>
      </c>
      <c r="AQ147" s="278">
        <f>SUM(AP$128:AP147)</f>
        <v>0.78593272171253814</v>
      </c>
      <c r="AR147" s="198">
        <v>3.4437466650248327E-2</v>
      </c>
      <c r="AS147" s="198">
        <f t="shared" si="36"/>
        <v>0.67678740009733729</v>
      </c>
      <c r="AT147" s="278">
        <v>3.968253968253968E-2</v>
      </c>
      <c r="AU147" s="278">
        <f>SUM(AT$128:AT147)</f>
        <v>0.66269841269841268</v>
      </c>
      <c r="AV147" s="236">
        <f t="shared" si="49"/>
        <v>138787.11377245511</v>
      </c>
      <c r="AW147" s="198">
        <v>4.205629962306523E-2</v>
      </c>
      <c r="AX147" s="198">
        <f t="shared" si="37"/>
        <v>0.74843211163685941</v>
      </c>
      <c r="AY147" s="278">
        <v>4.8991354466858761E-2</v>
      </c>
      <c r="AZ147" s="278">
        <f>SUM(AY$128:AY147)</f>
        <v>0.72046109510086453</v>
      </c>
      <c r="BA147" s="236">
        <f t="shared" si="52"/>
        <v>127659.912</v>
      </c>
      <c r="BB147" s="236"/>
      <c r="BC147" s="198"/>
      <c r="BD147" s="236"/>
      <c r="BE147" s="278">
        <f t="shared" si="38"/>
        <v>3.8246883136656779E-2</v>
      </c>
      <c r="BF147" s="278">
        <f t="shared" si="39"/>
        <v>4.4336947074699221E-2</v>
      </c>
    </row>
    <row r="148" spans="1:58" s="179" customFormat="1" x14ac:dyDescent="0.3">
      <c r="A148" s="192"/>
      <c r="B148" s="192"/>
      <c r="C148" s="177"/>
      <c r="G148" s="342">
        <v>19</v>
      </c>
      <c r="H148" s="367" t="s">
        <v>42</v>
      </c>
      <c r="I148" s="462">
        <f t="shared" si="44"/>
        <v>101170</v>
      </c>
      <c r="J148" s="463">
        <f t="shared" si="45"/>
        <v>102907.08503332039</v>
      </c>
      <c r="K148" s="463">
        <f t="shared" si="46"/>
        <v>122118.44671109384</v>
      </c>
      <c r="L148" s="345">
        <f t="shared" si="20"/>
        <v>0.82024630901322348</v>
      </c>
      <c r="M148" s="347">
        <f t="shared" si="28"/>
        <v>7.4557527505046961E-2</v>
      </c>
      <c r="N148" s="345">
        <f t="shared" si="21"/>
        <v>0.80410608963579699</v>
      </c>
      <c r="O148" s="347">
        <f t="shared" si="29"/>
        <v>4.7190433039736912E-2</v>
      </c>
      <c r="P148" s="345">
        <f t="shared" si="22"/>
        <v>0.71566636999867461</v>
      </c>
      <c r="Q148" s="349">
        <f t="shared" si="30"/>
        <v>4.7190433039736801E-2</v>
      </c>
      <c r="R148" s="413"/>
      <c r="S148" s="193" t="s">
        <v>359</v>
      </c>
      <c r="T148" s="330">
        <v>19</v>
      </c>
      <c r="U148" s="331">
        <f t="shared" si="40"/>
        <v>2</v>
      </c>
      <c r="V148" s="323">
        <f t="shared" si="41"/>
        <v>44235</v>
      </c>
      <c r="W148" s="324">
        <v>0.66666666666666663</v>
      </c>
      <c r="X148" s="325">
        <f t="shared" si="18"/>
        <v>44235.666666666664</v>
      </c>
      <c r="Y148" s="326">
        <f t="shared" si="23"/>
        <v>19</v>
      </c>
      <c r="Z148" s="326">
        <f t="shared" si="42"/>
        <v>1</v>
      </c>
      <c r="AA148" s="194">
        <v>101170</v>
      </c>
      <c r="AB148" s="196">
        <v>122118.44671109384</v>
      </c>
      <c r="AC148" s="196">
        <f t="shared" si="24"/>
        <v>-20948.446711093842</v>
      </c>
      <c r="AD148" s="196">
        <v>102907.08503332039</v>
      </c>
      <c r="AE148" s="196">
        <f t="shared" si="25"/>
        <v>-1737.0850333203853</v>
      </c>
      <c r="AF148" s="196">
        <f t="shared" si="48"/>
        <v>9196</v>
      </c>
      <c r="AG148" s="197">
        <v>549</v>
      </c>
      <c r="AH148" s="329">
        <f t="shared" si="26"/>
        <v>184.28051001821493</v>
      </c>
      <c r="AI148" s="196">
        <f t="shared" si="31"/>
        <v>9196</v>
      </c>
      <c r="AJ148" s="196">
        <f t="shared" si="27"/>
        <v>5324.7368421052633</v>
      </c>
      <c r="AK148" s="334">
        <f t="shared" si="32"/>
        <v>35</v>
      </c>
      <c r="AL148" s="295">
        <f t="shared" si="43"/>
        <v>262.74285714285713</v>
      </c>
      <c r="AM148" s="295">
        <f t="shared" si="51"/>
        <v>195.14393939393941</v>
      </c>
      <c r="AN148" s="198">
        <f t="shared" si="33"/>
        <v>7.4557527505046989E-2</v>
      </c>
      <c r="AO148" s="198">
        <f t="shared" si="34"/>
        <v>0.82024630901322371</v>
      </c>
      <c r="AP148" s="278">
        <f t="shared" si="35"/>
        <v>5.3516819571865444E-2</v>
      </c>
      <c r="AQ148" s="278">
        <f>SUM(AP$128:AP148)</f>
        <v>0.83944954128440363</v>
      </c>
      <c r="AR148" s="198">
        <v>4.76249113116494E-2</v>
      </c>
      <c r="AS148" s="198">
        <f t="shared" si="36"/>
        <v>0.72441231140898665</v>
      </c>
      <c r="AT148" s="278">
        <v>4.7619047619047616E-2</v>
      </c>
      <c r="AU148" s="278">
        <f>SUM(AT$128:AT148)</f>
        <v>0.71031746031746024</v>
      </c>
      <c r="AV148" s="236">
        <f t="shared" si="49"/>
        <v>142429.27374301676</v>
      </c>
      <c r="AW148" s="198">
        <v>4.6755954767824237E-2</v>
      </c>
      <c r="AX148" s="198">
        <f t="shared" si="37"/>
        <v>0.79518806640468365</v>
      </c>
      <c r="AY148" s="278">
        <v>4.8991354466858761E-2</v>
      </c>
      <c r="AZ148" s="278">
        <f>SUM(AY$128:AY148)</f>
        <v>0.7694524495677233</v>
      </c>
      <c r="BA148" s="236">
        <f t="shared" si="52"/>
        <v>131483.10861423222</v>
      </c>
      <c r="BB148" s="236"/>
      <c r="BC148" s="198"/>
      <c r="BD148" s="236"/>
      <c r="BE148" s="278">
        <f t="shared" si="38"/>
        <v>4.7190433039736815E-2</v>
      </c>
      <c r="BF148" s="278">
        <f t="shared" si="39"/>
        <v>4.8305201042953189E-2</v>
      </c>
    </row>
    <row r="149" spans="1:58" s="179" customFormat="1" x14ac:dyDescent="0.3">
      <c r="A149" s="192"/>
      <c r="B149" s="192"/>
      <c r="C149" s="177"/>
      <c r="G149" s="342">
        <v>20</v>
      </c>
      <c r="H149" s="367" t="s">
        <v>43</v>
      </c>
      <c r="I149" s="462">
        <f t="shared" si="44"/>
        <v>108862</v>
      </c>
      <c r="J149" s="463">
        <f t="shared" si="45"/>
        <v>110620.507643369</v>
      </c>
      <c r="K149" s="463">
        <f t="shared" si="46"/>
        <v>132403.01019115865</v>
      </c>
      <c r="L149" s="345">
        <f t="shared" si="20"/>
        <v>0.88260999991892397</v>
      </c>
      <c r="M149" s="347">
        <f t="shared" si="28"/>
        <v>6.2363690905700486E-2</v>
      </c>
      <c r="N149" s="345">
        <f t="shared" si="21"/>
        <v>0.86437803389178525</v>
      </c>
      <c r="O149" s="347">
        <f t="shared" si="29"/>
        <v>6.0271944255988252E-2</v>
      </c>
      <c r="P149" s="345">
        <f t="shared" si="22"/>
        <v>0.77593831425466286</v>
      </c>
      <c r="Q149" s="349">
        <f t="shared" si="30"/>
        <v>6.0271944255988252E-2</v>
      </c>
      <c r="R149" s="413"/>
      <c r="S149" s="193" t="s">
        <v>372</v>
      </c>
      <c r="T149" s="330">
        <v>20</v>
      </c>
      <c r="U149" s="331">
        <f t="shared" si="40"/>
        <v>3</v>
      </c>
      <c r="V149" s="323">
        <f t="shared" si="41"/>
        <v>44236</v>
      </c>
      <c r="W149" s="324">
        <v>0.66666666666666663</v>
      </c>
      <c r="X149" s="325">
        <f t="shared" si="18"/>
        <v>44236.666666666664</v>
      </c>
      <c r="Y149" s="326">
        <f t="shared" si="23"/>
        <v>20</v>
      </c>
      <c r="Z149" s="326">
        <f t="shared" si="42"/>
        <v>1</v>
      </c>
      <c r="AA149" s="194">
        <v>108862</v>
      </c>
      <c r="AB149" s="196">
        <v>132403.01019115865</v>
      </c>
      <c r="AC149" s="196">
        <f t="shared" si="24"/>
        <v>-23541.010191158653</v>
      </c>
      <c r="AD149" s="196">
        <v>110620.507643369</v>
      </c>
      <c r="AE149" s="196">
        <f t="shared" si="25"/>
        <v>-1758.5076433689974</v>
      </c>
      <c r="AF149" s="196">
        <f t="shared" si="48"/>
        <v>7692</v>
      </c>
      <c r="AG149" s="197">
        <v>584</v>
      </c>
      <c r="AH149" s="329">
        <f t="shared" si="26"/>
        <v>186.40753424657535</v>
      </c>
      <c r="AI149" s="196">
        <f t="shared" si="31"/>
        <v>7692</v>
      </c>
      <c r="AJ149" s="196">
        <f t="shared" si="27"/>
        <v>5443.1</v>
      </c>
      <c r="AK149" s="334">
        <f t="shared" si="32"/>
        <v>35</v>
      </c>
      <c r="AL149" s="295">
        <f t="shared" si="43"/>
        <v>219.77142857142857</v>
      </c>
      <c r="AM149" s="295">
        <f t="shared" si="51"/>
        <v>202.84076433121018</v>
      </c>
      <c r="AN149" s="198">
        <f t="shared" si="33"/>
        <v>6.2363690905700458E-2</v>
      </c>
      <c r="AO149" s="198">
        <f t="shared" si="34"/>
        <v>0.88260999991892419</v>
      </c>
      <c r="AP149" s="278">
        <f t="shared" si="35"/>
        <v>5.3516819571865444E-2</v>
      </c>
      <c r="AQ149" s="278">
        <f>SUM(AP$128:AP149)</f>
        <v>0.89296636085626913</v>
      </c>
      <c r="AR149" s="198">
        <v>3.9767563225265479E-2</v>
      </c>
      <c r="AS149" s="198">
        <f t="shared" si="36"/>
        <v>0.76417987463425208</v>
      </c>
      <c r="AT149" s="278">
        <v>5.1587301587301584E-2</v>
      </c>
      <c r="AU149" s="278">
        <f>SUM(AT$128:AT149)</f>
        <v>0.76190476190476186</v>
      </c>
      <c r="AV149" s="236">
        <f t="shared" si="49"/>
        <v>142881.375</v>
      </c>
      <c r="AW149" s="198">
        <v>8.077632528671097E-2</v>
      </c>
      <c r="AX149" s="198">
        <f t="shared" si="37"/>
        <v>0.87596439169139462</v>
      </c>
      <c r="AY149" s="278">
        <v>9.5100864553314124E-2</v>
      </c>
      <c r="AZ149" s="278">
        <f>SUM(AY$128:AY149)</f>
        <v>0.86455331412103742</v>
      </c>
      <c r="BA149" s="236">
        <f t="shared" si="52"/>
        <v>125917.04666666668</v>
      </c>
      <c r="BB149" s="236"/>
      <c r="BC149" s="198"/>
      <c r="BD149" s="236"/>
      <c r="BE149" s="278">
        <f t="shared" si="38"/>
        <v>6.0271944255988225E-2</v>
      </c>
      <c r="BF149" s="278">
        <f t="shared" si="39"/>
        <v>7.3344083070307847E-2</v>
      </c>
    </row>
    <row r="150" spans="1:58" s="179" customFormat="1" x14ac:dyDescent="0.3">
      <c r="A150" s="192"/>
      <c r="B150" s="192"/>
      <c r="C150" s="177"/>
      <c r="G150" s="342">
        <v>21</v>
      </c>
      <c r="H150" s="367" t="s">
        <v>140</v>
      </c>
      <c r="I150" s="462">
        <f t="shared" si="44"/>
        <v>123341</v>
      </c>
      <c r="J150" s="463">
        <f t="shared" si="45"/>
        <v>127977</v>
      </c>
      <c r="K150" s="463">
        <f t="shared" si="46"/>
        <v>170636</v>
      </c>
      <c r="L150" s="345">
        <f t="shared" si="20"/>
        <v>1</v>
      </c>
      <c r="M150" s="347">
        <f t="shared" si="28"/>
        <v>0.11739000008107603</v>
      </c>
      <c r="N150" s="345">
        <f t="shared" si="21"/>
        <v>1</v>
      </c>
      <c r="O150" s="347">
        <f t="shared" si="29"/>
        <v>0.13562196610821475</v>
      </c>
      <c r="P150" s="345">
        <f t="shared" si="22"/>
        <v>1</v>
      </c>
      <c r="Q150" s="349">
        <f t="shared" si="30"/>
        <v>0.22406168574533714</v>
      </c>
      <c r="R150" s="413"/>
      <c r="S150" s="193"/>
      <c r="T150" s="490">
        <v>21</v>
      </c>
      <c r="U150" s="491">
        <f t="shared" si="40"/>
        <v>4</v>
      </c>
      <c r="V150" s="492">
        <f t="shared" si="41"/>
        <v>44237</v>
      </c>
      <c r="W150" s="493">
        <v>0.83333333333333337</v>
      </c>
      <c r="X150" s="494">
        <f t="shared" si="18"/>
        <v>44237.833333333336</v>
      </c>
      <c r="Y150" s="495">
        <f t="shared" si="23"/>
        <v>21.166666666671517</v>
      </c>
      <c r="Z150" s="495">
        <f t="shared" si="42"/>
        <v>1.1666666666715173</v>
      </c>
      <c r="AA150" s="194">
        <v>123341</v>
      </c>
      <c r="AB150" s="496">
        <v>170636</v>
      </c>
      <c r="AC150" s="496">
        <f t="shared" si="24"/>
        <v>-47295</v>
      </c>
      <c r="AD150" s="496">
        <v>127977</v>
      </c>
      <c r="AE150" s="496">
        <f t="shared" si="25"/>
        <v>-4636</v>
      </c>
      <c r="AF150" s="196">
        <f t="shared" si="48"/>
        <v>14479</v>
      </c>
      <c r="AG150" s="197">
        <v>654</v>
      </c>
      <c r="AH150" s="497">
        <f t="shared" si="26"/>
        <v>188.5948012232416</v>
      </c>
      <c r="AI150" s="196">
        <f t="shared" si="31"/>
        <v>12410.57142851983</v>
      </c>
      <c r="AJ150" s="196">
        <f t="shared" si="27"/>
        <v>5827.1338582663811</v>
      </c>
      <c r="AK150" s="334">
        <f t="shared" si="32"/>
        <v>70</v>
      </c>
      <c r="AL150" s="295">
        <f t="shared" si="43"/>
        <v>206.84285714285716</v>
      </c>
      <c r="AM150" s="295">
        <f t="shared" si="51"/>
        <v>206.15238095238095</v>
      </c>
      <c r="AN150" s="198">
        <f t="shared" si="33"/>
        <v>0.11739000008107604</v>
      </c>
      <c r="AO150" s="198">
        <f t="shared" si="34"/>
        <v>1.0000000000000002</v>
      </c>
      <c r="AP150" s="278">
        <f t="shared" si="35"/>
        <v>0.10703363914373089</v>
      </c>
      <c r="AQ150" s="278">
        <f>SUM(AP$128:AP150)</f>
        <v>1</v>
      </c>
      <c r="AR150" s="198">
        <v>0.23582012536574781</v>
      </c>
      <c r="AS150" s="198">
        <f t="shared" si="36"/>
        <v>0.99999999999999989</v>
      </c>
      <c r="AT150" s="278">
        <v>0.23809523809523808</v>
      </c>
      <c r="AU150" s="278">
        <f>SUM(AT$128:AT150)</f>
        <v>1</v>
      </c>
      <c r="AV150" s="236">
        <f t="shared" si="49"/>
        <v>123341</v>
      </c>
      <c r="AW150" s="198">
        <v>0.12403560830860538</v>
      </c>
      <c r="AX150" s="198">
        <f t="shared" si="37"/>
        <v>1</v>
      </c>
      <c r="AY150" s="278">
        <v>0.13544668587896258</v>
      </c>
      <c r="AZ150" s="278">
        <f>SUM(AY$128:AY150)</f>
        <v>1</v>
      </c>
      <c r="BA150" s="236">
        <f t="shared" si="52"/>
        <v>123341</v>
      </c>
      <c r="BB150" s="236"/>
      <c r="BC150" s="198"/>
      <c r="BD150" s="236"/>
      <c r="BE150" s="278">
        <f t="shared" si="38"/>
        <v>0.1799278668371766</v>
      </c>
      <c r="BF150" s="278">
        <f t="shared" si="39"/>
        <v>0.18677096198710033</v>
      </c>
    </row>
    <row r="151" spans="1:58" s="37" customFormat="1" x14ac:dyDescent="0.3">
      <c r="A151" s="134"/>
      <c r="B151" s="134"/>
      <c r="D151" s="51"/>
      <c r="G151" s="36"/>
      <c r="H151" s="36"/>
      <c r="I151" s="36"/>
      <c r="J151" s="36"/>
      <c r="K151" s="36"/>
      <c r="L151" s="36"/>
      <c r="M151" s="36"/>
      <c r="N151" s="36"/>
      <c r="O151" s="39"/>
      <c r="P151" s="40"/>
      <c r="R151" s="33"/>
      <c r="S151" s="33"/>
      <c r="T151" s="33"/>
      <c r="U151" s="33"/>
      <c r="V151" s="33"/>
      <c r="W151" s="33"/>
      <c r="X151" s="190"/>
      <c r="Y151" s="187"/>
      <c r="Z151" s="33"/>
      <c r="AA151" s="33"/>
      <c r="AB151" s="202"/>
      <c r="AC151" s="202"/>
      <c r="AD151" s="127"/>
      <c r="AE151" s="210"/>
      <c r="AF151" s="371">
        <f>SUM(AF128:AF150)</f>
        <v>123341</v>
      </c>
      <c r="AG151" s="33"/>
      <c r="AH151" s="217"/>
      <c r="AI151" s="33"/>
      <c r="AJ151" s="33"/>
      <c r="AK151" s="224">
        <f>SUM(AK128:AK150)</f>
        <v>654</v>
      </c>
      <c r="AL151" s="225">
        <f t="shared" si="43"/>
        <v>188.5948012232416</v>
      </c>
      <c r="AM151" s="225"/>
      <c r="AN151" s="226">
        <f>SUM(AN128:AN150)</f>
        <v>1.0000000000000002</v>
      </c>
      <c r="AO151" s="226"/>
      <c r="AP151" s="279">
        <f>SUM(AP128:AP150)</f>
        <v>1</v>
      </c>
      <c r="AQ151" s="282"/>
      <c r="AR151" s="226">
        <f t="shared" ref="AR151:AT151" si="53">SUM(AR128:AR150)</f>
        <v>0.99999999999999989</v>
      </c>
      <c r="AS151" s="226"/>
      <c r="AT151" s="279">
        <f t="shared" si="53"/>
        <v>1</v>
      </c>
      <c r="AU151" s="282"/>
      <c r="AV151" s="237"/>
      <c r="AW151" s="226">
        <f t="shared" ref="AW151:AY151" si="54">SUM(AW128:AW150)</f>
        <v>1</v>
      </c>
      <c r="AX151" s="226"/>
      <c r="AY151" s="279">
        <f t="shared" si="54"/>
        <v>1</v>
      </c>
      <c r="AZ151" s="282"/>
      <c r="BA151" s="237"/>
      <c r="BB151" s="237">
        <v>266000</v>
      </c>
      <c r="BC151" s="226">
        <f>BB151/$BB$151</f>
        <v>1</v>
      </c>
      <c r="BD151" s="237"/>
      <c r="BE151" s="279">
        <f>SUM(BE129:BE150)</f>
        <v>1.0000000000000002</v>
      </c>
      <c r="BF151" s="279">
        <f>SUM(BF129:BF150)</f>
        <v>0.99999999999999989</v>
      </c>
    </row>
    <row r="152" spans="1:58" s="37" customFormat="1" x14ac:dyDescent="0.3">
      <c r="A152" s="139"/>
      <c r="B152" s="139"/>
      <c r="R152" s="33"/>
      <c r="S152" s="33"/>
      <c r="T152" s="33"/>
      <c r="U152" s="33"/>
      <c r="V152" s="33"/>
      <c r="W152" s="33"/>
      <c r="X152" s="33"/>
      <c r="Y152" s="33"/>
      <c r="Z152" s="180"/>
      <c r="AA152" s="133"/>
      <c r="AB152" s="206">
        <f>AB131*4</f>
        <v>170636</v>
      </c>
      <c r="AC152" s="195"/>
      <c r="AD152" s="206">
        <f>AD131*3.5</f>
        <v>149306.5</v>
      </c>
      <c r="AE152" s="133"/>
      <c r="AF152" s="33"/>
      <c r="AG152" s="203">
        <f>Vergleich!T28</f>
        <v>645.68444444444447</v>
      </c>
      <c r="AH152" s="214"/>
      <c r="AI152" s="33"/>
      <c r="AJ152" s="33"/>
      <c r="AK152" s="33"/>
      <c r="AL152" s="33"/>
      <c r="AM152" s="33"/>
      <c r="AN152" s="33"/>
      <c r="AO152" s="33"/>
      <c r="AP152" s="214"/>
      <c r="AQ152" s="214"/>
      <c r="AR152" s="33"/>
      <c r="AS152" s="33"/>
      <c r="AT152" s="214"/>
      <c r="AU152" s="214"/>
      <c r="AV152" s="33"/>
      <c r="AW152" s="33"/>
      <c r="AX152" s="33"/>
      <c r="AY152" s="214"/>
      <c r="AZ152" s="214"/>
      <c r="BA152" s="33"/>
      <c r="BB152" s="227"/>
      <c r="BC152" s="33"/>
      <c r="BD152" s="33"/>
      <c r="BE152" s="214"/>
      <c r="BF152" s="214"/>
    </row>
    <row r="153" spans="1:58" s="37" customFormat="1" x14ac:dyDescent="0.3">
      <c r="A153" s="139"/>
      <c r="B153" s="139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291" t="s">
        <v>225</v>
      </c>
      <c r="AH153" s="214"/>
      <c r="AI153" s="33"/>
      <c r="AJ153" s="33"/>
      <c r="AK153" s="33"/>
      <c r="AL153" s="33"/>
      <c r="AM153" s="33"/>
      <c r="AN153" s="33"/>
      <c r="AO153" s="33"/>
      <c r="AP153" s="214"/>
      <c r="AQ153" s="214"/>
      <c r="AR153" s="33"/>
      <c r="AS153" s="33"/>
      <c r="AT153" s="284">
        <f>SUM(AT132:AT150)</f>
        <v>0.72751322751322745</v>
      </c>
      <c r="AU153" s="214"/>
      <c r="AV153" s="33"/>
      <c r="AW153" s="33"/>
      <c r="AX153" s="33"/>
      <c r="AY153" s="214"/>
      <c r="AZ153" s="214"/>
      <c r="BA153" s="33"/>
      <c r="BB153" s="227"/>
      <c r="BC153" s="33"/>
      <c r="BD153" s="33"/>
      <c r="BE153" s="214"/>
      <c r="BF153" s="214"/>
    </row>
    <row r="154" spans="1:58" s="37" customFormat="1" x14ac:dyDescent="0.3">
      <c r="A154" s="139"/>
      <c r="B154" s="139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203">
        <f>Vergleich!T32</f>
        <v>839.33139881759507</v>
      </c>
      <c r="AH154" s="214"/>
      <c r="AI154" s="33"/>
      <c r="AJ154" s="33"/>
      <c r="AK154" s="33"/>
      <c r="AL154" s="33"/>
      <c r="AM154" s="33"/>
      <c r="AN154" s="33"/>
      <c r="AO154" s="33"/>
      <c r="AP154" s="214"/>
      <c r="AQ154" s="214"/>
      <c r="AR154" s="33"/>
      <c r="AS154" s="33"/>
      <c r="AT154" s="214">
        <f>AT153*AG150</f>
        <v>475.79365079365073</v>
      </c>
      <c r="AU154" s="214"/>
      <c r="AV154" s="33"/>
      <c r="AW154" s="33"/>
      <c r="AX154" s="33"/>
      <c r="AY154" s="214"/>
      <c r="AZ154" s="214"/>
      <c r="BA154" s="33"/>
      <c r="BB154" s="227"/>
      <c r="BC154" s="33"/>
      <c r="BD154" s="33"/>
      <c r="BE154" s="214"/>
      <c r="BF154" s="214"/>
    </row>
    <row r="155" spans="1:58" s="37" customFormat="1" x14ac:dyDescent="0.3">
      <c r="A155" s="139"/>
      <c r="B155" s="139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203">
        <f>AVERAGE(AG152,AG154)</f>
        <v>742.50792163101983</v>
      </c>
      <c r="AH155" s="214"/>
      <c r="AI155" s="33"/>
      <c r="AJ155" s="33"/>
      <c r="AK155" s="33"/>
      <c r="AL155" s="33"/>
      <c r="AM155" s="33"/>
      <c r="AN155" s="33"/>
      <c r="AO155" s="33"/>
      <c r="AP155" s="214"/>
      <c r="AQ155" s="214"/>
      <c r="AR155" s="33"/>
      <c r="AS155" s="33"/>
      <c r="AT155" s="214"/>
      <c r="AU155" s="214"/>
      <c r="AV155" s="33"/>
      <c r="AW155" s="33"/>
      <c r="AX155" s="33"/>
      <c r="AY155" s="214"/>
      <c r="AZ155" s="214"/>
      <c r="BA155" s="33"/>
      <c r="BB155" s="227"/>
      <c r="BC155" s="33"/>
      <c r="BD155" s="33"/>
      <c r="BE155" s="214"/>
      <c r="BF155" s="214"/>
    </row>
    <row r="156" spans="1:58" s="37" customFormat="1" x14ac:dyDescent="0.3">
      <c r="A156" s="139"/>
      <c r="B156" s="139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292" t="s">
        <v>229</v>
      </c>
      <c r="AE156" s="131"/>
      <c r="AF156" s="131"/>
      <c r="AG156" s="131"/>
      <c r="AH156" s="131"/>
      <c r="AI156" s="131"/>
      <c r="AJ156" s="131"/>
      <c r="AK156" s="131"/>
      <c r="AL156" s="33"/>
      <c r="AM156" s="33"/>
      <c r="AN156" s="33"/>
      <c r="AO156" s="33"/>
      <c r="AP156" s="214"/>
      <c r="AQ156" s="214"/>
      <c r="AR156" s="33"/>
      <c r="AS156" s="33"/>
      <c r="AT156" s="214"/>
      <c r="AU156" s="214"/>
      <c r="AV156" s="33"/>
      <c r="AW156" s="33"/>
      <c r="AX156" s="33"/>
      <c r="AY156" s="214"/>
      <c r="AZ156" s="214"/>
      <c r="BA156" s="33"/>
      <c r="BB156" s="227"/>
      <c r="BC156" s="33"/>
      <c r="BD156" s="33"/>
      <c r="BE156" s="214"/>
      <c r="BF156" s="214"/>
    </row>
    <row r="157" spans="1:58" s="37" customFormat="1" x14ac:dyDescent="0.3">
      <c r="A157" s="139"/>
      <c r="B157" s="139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131" t="s">
        <v>224</v>
      </c>
      <c r="AE157" s="131"/>
      <c r="AF157" s="131"/>
      <c r="AG157" s="131" t="s">
        <v>224</v>
      </c>
      <c r="AH157" s="131"/>
      <c r="AI157" s="131"/>
      <c r="AJ157" s="131"/>
      <c r="AK157" s="131" t="s">
        <v>224</v>
      </c>
      <c r="AL157" s="33"/>
      <c r="AM157" s="33"/>
      <c r="AN157" s="33"/>
      <c r="AO157" s="33"/>
      <c r="AP157" s="214"/>
      <c r="AQ157" s="214"/>
      <c r="AR157" s="33"/>
      <c r="AS157" s="33"/>
      <c r="AT157" s="214"/>
      <c r="AU157" s="214"/>
      <c r="AV157" s="33"/>
      <c r="AW157" s="33"/>
      <c r="AX157" s="33"/>
      <c r="AY157" s="214"/>
      <c r="AZ157" s="214"/>
      <c r="BA157" s="33"/>
      <c r="BB157" s="227"/>
      <c r="BC157" s="33"/>
      <c r="BD157" s="33"/>
      <c r="BE157" s="214"/>
      <c r="BF157" s="214"/>
    </row>
    <row r="158" spans="1:58" s="37" customFormat="1" x14ac:dyDescent="0.3">
      <c r="A158" s="139"/>
      <c r="B158" s="139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283">
        <f>AD131+AD$150*$BE132</f>
        <v>46474.84678048324</v>
      </c>
      <c r="AE158" s="131"/>
      <c r="AF158" s="131"/>
      <c r="AG158" s="131">
        <f>AG131+AG$150*AT132</f>
        <v>248.57142857142858</v>
      </c>
      <c r="AH158" s="131"/>
      <c r="AI158" s="131"/>
      <c r="AJ158" s="131"/>
      <c r="AK158" s="131">
        <f>AG$150*BF132</f>
        <v>20.036434746809373</v>
      </c>
      <c r="AL158" s="33"/>
      <c r="AM158" s="33"/>
      <c r="AN158" s="33"/>
      <c r="AO158" s="33"/>
      <c r="AP158" s="214"/>
      <c r="AQ158" s="214"/>
      <c r="AR158" s="33"/>
      <c r="AS158" s="33"/>
      <c r="AT158" s="214"/>
      <c r="AU158" s="214"/>
      <c r="AV158" s="33"/>
      <c r="AW158" s="33"/>
      <c r="AX158" s="33"/>
      <c r="AY158" s="214"/>
      <c r="AZ158" s="214"/>
      <c r="BA158" s="33"/>
      <c r="BB158" s="227"/>
      <c r="BC158" s="33"/>
      <c r="BD158" s="33"/>
      <c r="BE158" s="214"/>
      <c r="BF158" s="214"/>
    </row>
    <row r="159" spans="1:58" s="37" customFormat="1" x14ac:dyDescent="0.3">
      <c r="A159" s="139"/>
      <c r="B159" s="139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214"/>
      <c r="AQ159" s="214"/>
      <c r="AR159" s="33"/>
      <c r="AS159" s="33"/>
      <c r="AT159" s="214"/>
      <c r="AU159" s="214"/>
      <c r="AV159" s="33"/>
      <c r="AW159" s="33"/>
      <c r="AX159" s="33"/>
      <c r="AY159" s="214"/>
      <c r="AZ159" s="214"/>
      <c r="BA159" s="33"/>
      <c r="BB159" s="227"/>
      <c r="BC159" s="33"/>
      <c r="BD159" s="33"/>
      <c r="BE159" s="214"/>
      <c r="BF159" s="214"/>
    </row>
    <row r="160" spans="1:58" s="37" customFormat="1" hidden="1" outlineLevel="1" x14ac:dyDescent="0.3">
      <c r="A160" s="134"/>
      <c r="B160" s="134"/>
      <c r="D160" s="60"/>
      <c r="G160" s="36"/>
      <c r="H160" s="36"/>
      <c r="I160" s="36"/>
      <c r="J160" s="36"/>
      <c r="K160" s="36"/>
      <c r="L160" s="36"/>
      <c r="M160" s="36"/>
      <c r="N160" s="36"/>
      <c r="O160" s="39"/>
      <c r="P160" s="40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4"/>
      <c r="AD160" s="33"/>
      <c r="AE160" s="34"/>
      <c r="AF160" s="33"/>
      <c r="AG160" s="33"/>
      <c r="AH160" s="214"/>
      <c r="AI160" s="33"/>
      <c r="AJ160" s="33"/>
      <c r="AK160" s="33"/>
      <c r="AL160" s="33"/>
      <c r="AM160" s="33"/>
      <c r="AN160" s="33"/>
      <c r="AO160" s="33"/>
      <c r="AP160" s="214"/>
      <c r="AQ160" s="214"/>
      <c r="AR160" s="33"/>
      <c r="AS160" s="33"/>
      <c r="AT160" s="214"/>
      <c r="AU160" s="214"/>
      <c r="AV160" s="33"/>
      <c r="AW160" s="33"/>
      <c r="AX160" s="33"/>
      <c r="AY160" s="214"/>
      <c r="AZ160" s="214"/>
      <c r="BA160" s="33"/>
      <c r="BB160" s="227"/>
      <c r="BC160" s="33"/>
      <c r="BD160" s="33"/>
      <c r="BE160" s="214"/>
      <c r="BF160" s="214"/>
    </row>
    <row r="161" spans="1:58" s="37" customFormat="1" hidden="1" outlineLevel="1" x14ac:dyDescent="0.3">
      <c r="A161" s="134"/>
      <c r="B161" s="134"/>
      <c r="D161" s="51"/>
      <c r="G161" s="36"/>
      <c r="H161" s="36"/>
      <c r="I161" s="36"/>
      <c r="J161" s="36"/>
      <c r="K161" s="36"/>
      <c r="L161" s="36"/>
      <c r="M161" s="36"/>
      <c r="N161" s="36"/>
      <c r="O161" s="39"/>
      <c r="P161" s="40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4"/>
      <c r="AD161" s="33"/>
      <c r="AE161" s="34"/>
      <c r="AF161" s="33"/>
      <c r="AG161" s="33"/>
      <c r="AH161" s="214"/>
      <c r="AI161" s="33"/>
      <c r="AJ161" s="33"/>
      <c r="AK161" s="33"/>
      <c r="AL161" s="33"/>
      <c r="AM161" s="33"/>
      <c r="AN161" s="33"/>
      <c r="AO161" s="33"/>
      <c r="AP161" s="214"/>
      <c r="AQ161" s="214"/>
      <c r="AR161" s="33"/>
      <c r="AS161" s="33"/>
      <c r="AT161" s="214"/>
      <c r="AU161" s="214"/>
      <c r="AV161" s="33"/>
      <c r="AW161" s="33"/>
      <c r="AX161" s="33"/>
      <c r="AY161" s="214"/>
      <c r="AZ161" s="214"/>
      <c r="BA161" s="33"/>
      <c r="BB161" s="227"/>
      <c r="BC161" s="33"/>
      <c r="BD161" s="33"/>
      <c r="BE161" s="214"/>
      <c r="BF161" s="214"/>
    </row>
    <row r="162" spans="1:58" s="37" customFormat="1" ht="17.25" hidden="1" outlineLevel="1" thickBot="1" x14ac:dyDescent="0.35">
      <c r="A162" s="134"/>
      <c r="B162" s="134"/>
      <c r="D162" s="63" t="s">
        <v>14</v>
      </c>
      <c r="G162" s="36"/>
      <c r="H162" s="36"/>
      <c r="I162" s="36"/>
      <c r="J162" s="36"/>
      <c r="K162" s="36"/>
      <c r="L162" s="36"/>
      <c r="M162" s="36"/>
      <c r="N162" s="36"/>
      <c r="O162" s="39"/>
      <c r="P162" s="40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4"/>
      <c r="AD162" s="33"/>
      <c r="AE162" s="34"/>
      <c r="AF162" s="33"/>
      <c r="AG162" s="33"/>
      <c r="AH162" s="214"/>
      <c r="AI162" s="33"/>
      <c r="AJ162" s="33"/>
      <c r="AK162" s="33"/>
      <c r="AL162" s="33"/>
      <c r="AM162" s="33"/>
      <c r="AN162" s="33"/>
      <c r="AO162" s="33"/>
      <c r="AP162" s="214"/>
      <c r="AQ162" s="214"/>
      <c r="AR162" s="33"/>
      <c r="AS162" s="33"/>
      <c r="AT162" s="214"/>
      <c r="AU162" s="214"/>
      <c r="AV162" s="33"/>
      <c r="AW162" s="33"/>
      <c r="AX162" s="33"/>
      <c r="AY162" s="214"/>
      <c r="AZ162" s="214"/>
      <c r="BA162" s="33"/>
      <c r="BB162" s="227"/>
      <c r="BC162" s="33"/>
      <c r="BD162" s="33"/>
      <c r="BE162" s="214"/>
      <c r="BF162" s="214"/>
    </row>
    <row r="163" spans="1:58" s="37" customFormat="1" ht="17.25" hidden="1" outlineLevel="1" thickBot="1" x14ac:dyDescent="0.35">
      <c r="A163" s="134"/>
      <c r="B163" s="134"/>
      <c r="D163" s="63"/>
      <c r="G163" s="36"/>
      <c r="H163" s="36"/>
      <c r="I163" s="36"/>
      <c r="J163" s="36"/>
      <c r="K163" s="36"/>
      <c r="L163" s="36"/>
      <c r="M163" s="36"/>
      <c r="N163" s="36"/>
      <c r="O163" s="39"/>
      <c r="P163" s="40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4"/>
      <c r="AD163" s="33"/>
      <c r="AE163" s="34"/>
      <c r="AF163" s="33"/>
      <c r="AG163" s="33"/>
      <c r="AH163" s="214"/>
      <c r="AI163" s="33"/>
      <c r="AJ163" s="33"/>
      <c r="AK163" s="33"/>
      <c r="AL163" s="33"/>
      <c r="AM163" s="33"/>
      <c r="AN163" s="33"/>
      <c r="AO163" s="33"/>
      <c r="AP163" s="214"/>
      <c r="AQ163" s="214"/>
      <c r="AR163" s="33"/>
      <c r="AS163" s="33"/>
      <c r="AT163" s="214"/>
      <c r="AU163" s="214"/>
      <c r="AV163" s="33"/>
      <c r="AW163" s="33"/>
      <c r="AX163" s="33"/>
      <c r="AY163" s="214"/>
      <c r="AZ163" s="214"/>
      <c r="BA163" s="33"/>
      <c r="BB163" s="227"/>
      <c r="BC163" s="33"/>
      <c r="BD163" s="33"/>
      <c r="BE163" s="214"/>
      <c r="BF163" s="214"/>
    </row>
    <row r="164" spans="1:58" s="37" customFormat="1" collapsed="1" x14ac:dyDescent="0.3">
      <c r="A164" s="134"/>
      <c r="B164" s="134"/>
      <c r="D164" s="51"/>
      <c r="G164" s="36"/>
      <c r="H164" s="36"/>
      <c r="I164" s="36"/>
      <c r="J164" s="36"/>
      <c r="K164" s="36"/>
      <c r="L164" s="36"/>
      <c r="M164" s="36"/>
      <c r="N164" s="36"/>
      <c r="O164" s="39"/>
      <c r="P164" s="40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4"/>
      <c r="AD164" s="33"/>
      <c r="AE164" s="34"/>
      <c r="AF164" s="33"/>
      <c r="AG164" s="33"/>
      <c r="AH164" s="214"/>
      <c r="AI164" s="33"/>
      <c r="AJ164" s="33"/>
      <c r="AK164" s="33"/>
      <c r="AL164" s="33"/>
      <c r="AM164" s="33"/>
      <c r="AN164" s="33"/>
      <c r="AO164" s="33"/>
      <c r="AP164" s="214"/>
      <c r="AQ164" s="214"/>
      <c r="AR164" s="33"/>
      <c r="AS164" s="33"/>
      <c r="AT164" s="214"/>
      <c r="AU164" s="214"/>
      <c r="AV164" s="33"/>
      <c r="AW164" s="33"/>
      <c r="AX164" s="33"/>
      <c r="AY164" s="214"/>
      <c r="AZ164" s="214"/>
      <c r="BA164" s="33"/>
      <c r="BB164" s="227"/>
      <c r="BC164" s="33"/>
      <c r="BD164" s="33"/>
      <c r="BE164" s="214"/>
      <c r="BF164" s="214"/>
    </row>
    <row r="165" spans="1:58" s="37" customFormat="1" x14ac:dyDescent="0.3">
      <c r="A165" s="134"/>
      <c r="B165" s="134"/>
      <c r="D165" s="51"/>
      <c r="G165" s="36"/>
      <c r="H165" s="36"/>
      <c r="I165" s="36"/>
      <c r="J165" s="36"/>
      <c r="K165" s="36"/>
      <c r="L165" s="36"/>
      <c r="M165" s="36"/>
      <c r="N165" s="36"/>
      <c r="O165" s="39"/>
      <c r="P165" s="40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4"/>
      <c r="AD165" s="33"/>
      <c r="AE165" s="34"/>
      <c r="AF165" s="33"/>
      <c r="AG165" s="33"/>
      <c r="AH165" s="214"/>
      <c r="AI165" s="33"/>
      <c r="AJ165" s="33"/>
      <c r="AK165" s="33"/>
      <c r="AL165" s="33"/>
      <c r="AM165" s="33"/>
      <c r="AN165" s="33"/>
      <c r="AO165" s="33"/>
      <c r="AP165" s="214"/>
      <c r="AQ165" s="214"/>
      <c r="AR165" s="33"/>
      <c r="AS165" s="33"/>
      <c r="AT165" s="214"/>
      <c r="AU165" s="214"/>
      <c r="AV165" s="33"/>
      <c r="AW165" s="33"/>
      <c r="AX165" s="33"/>
      <c r="AY165" s="214"/>
      <c r="AZ165" s="214"/>
      <c r="BA165" s="33"/>
      <c r="BB165" s="227"/>
      <c r="BC165" s="33"/>
      <c r="BD165" s="33"/>
      <c r="BE165" s="214"/>
      <c r="BF165" s="214"/>
    </row>
    <row r="166" spans="1:58" s="37" customFormat="1" x14ac:dyDescent="0.3">
      <c r="A166" s="134"/>
      <c r="B166" s="134"/>
      <c r="D166" s="51"/>
      <c r="G166" s="36"/>
      <c r="H166" s="36"/>
      <c r="I166" s="36"/>
      <c r="J166" s="36"/>
      <c r="K166" s="36"/>
      <c r="L166" s="36"/>
      <c r="M166" s="36"/>
      <c r="N166" s="36"/>
      <c r="O166" s="39"/>
      <c r="P166" s="40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4"/>
      <c r="AD166" s="33"/>
      <c r="AE166" s="34"/>
      <c r="AF166" s="33"/>
      <c r="AG166" s="33"/>
      <c r="AH166" s="214"/>
      <c r="AI166" s="33"/>
      <c r="AJ166" s="33"/>
      <c r="AK166" s="33"/>
      <c r="AL166" s="33"/>
      <c r="AM166" s="33"/>
      <c r="AN166" s="33"/>
      <c r="AO166" s="33"/>
      <c r="AP166" s="214"/>
      <c r="AQ166" s="214"/>
      <c r="AR166" s="33"/>
      <c r="AS166" s="33"/>
      <c r="AT166" s="214"/>
      <c r="AU166" s="214"/>
      <c r="AV166" s="33"/>
      <c r="AW166" s="33"/>
      <c r="AX166" s="33"/>
      <c r="AY166" s="214"/>
      <c r="AZ166" s="214"/>
      <c r="BA166" s="33"/>
      <c r="BB166" s="227"/>
      <c r="BC166" s="33"/>
      <c r="BD166" s="33"/>
      <c r="BE166" s="214"/>
      <c r="BF166" s="214"/>
    </row>
    <row r="167" spans="1:58" s="37" customFormat="1" x14ac:dyDescent="0.3">
      <c r="A167" s="134"/>
      <c r="B167" s="134"/>
      <c r="D167" s="51"/>
      <c r="G167" s="36"/>
      <c r="H167" s="36"/>
      <c r="I167" s="36"/>
      <c r="J167" s="36"/>
      <c r="K167" s="36"/>
      <c r="L167" s="36"/>
      <c r="M167" s="36"/>
      <c r="N167" s="36"/>
      <c r="O167" s="39"/>
      <c r="P167" s="40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4"/>
      <c r="AD167" s="33"/>
      <c r="AE167" s="34"/>
      <c r="AF167" s="33"/>
      <c r="AG167" s="33"/>
      <c r="AH167" s="214"/>
      <c r="AI167" s="33"/>
      <c r="AJ167" s="33"/>
      <c r="AK167" s="33"/>
      <c r="AL167" s="33"/>
      <c r="AM167" s="33"/>
      <c r="AN167" s="33"/>
      <c r="AO167" s="33"/>
      <c r="AP167" s="214"/>
      <c r="AQ167" s="214"/>
      <c r="AR167" s="33"/>
      <c r="AS167" s="33"/>
      <c r="AT167" s="214"/>
      <c r="AU167" s="214"/>
      <c r="AV167" s="33"/>
      <c r="AW167" s="33"/>
      <c r="AX167" s="33"/>
      <c r="AY167" s="214"/>
      <c r="AZ167" s="214"/>
      <c r="BA167" s="33"/>
      <c r="BB167" s="227"/>
      <c r="BC167" s="33"/>
      <c r="BD167" s="33"/>
      <c r="BE167" s="214"/>
      <c r="BF167" s="214"/>
    </row>
    <row r="168" spans="1:58" s="37" customFormat="1" x14ac:dyDescent="0.3">
      <c r="A168" s="134"/>
      <c r="B168" s="134"/>
      <c r="D168" s="51"/>
      <c r="G168" s="36"/>
      <c r="H168" s="36"/>
      <c r="I168" s="36"/>
      <c r="J168" s="36"/>
      <c r="K168" s="36"/>
      <c r="L168" s="36"/>
      <c r="M168" s="36"/>
      <c r="N168" s="36"/>
      <c r="O168" s="39"/>
      <c r="P168" s="40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4"/>
      <c r="AD168" s="33"/>
      <c r="AE168" s="34"/>
      <c r="AF168" s="33"/>
      <c r="AG168" s="33"/>
      <c r="AH168" s="214"/>
      <c r="AI168" s="33"/>
      <c r="AJ168" s="33"/>
      <c r="AK168" s="33"/>
      <c r="AL168" s="33"/>
      <c r="AM168" s="33"/>
      <c r="AN168" s="33"/>
      <c r="AO168" s="33"/>
      <c r="AP168" s="214"/>
      <c r="AQ168" s="214"/>
      <c r="AR168" s="33"/>
      <c r="AS168" s="33"/>
      <c r="AT168" s="214"/>
      <c r="AU168" s="214"/>
      <c r="AV168" s="33"/>
      <c r="AW168" s="33"/>
      <c r="AX168" s="33"/>
      <c r="AY168" s="214"/>
      <c r="AZ168" s="214"/>
      <c r="BA168" s="33"/>
      <c r="BB168" s="227"/>
      <c r="BC168" s="33"/>
      <c r="BD168" s="33"/>
      <c r="BE168" s="214"/>
      <c r="BF168" s="214"/>
    </row>
    <row r="169" spans="1:58" s="37" customFormat="1" x14ac:dyDescent="0.3">
      <c r="A169" s="134"/>
      <c r="B169" s="134"/>
      <c r="D169" s="51"/>
      <c r="G169" s="36"/>
      <c r="H169" s="36"/>
      <c r="I169" s="36"/>
      <c r="J169" s="36"/>
      <c r="K169" s="36"/>
      <c r="L169" s="36"/>
      <c r="M169" s="36"/>
      <c r="N169" s="36"/>
      <c r="O169" s="39"/>
      <c r="P169" s="40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4"/>
      <c r="AD169" s="33"/>
      <c r="AE169" s="34"/>
      <c r="AF169" s="33"/>
      <c r="AG169" s="33"/>
      <c r="AH169" s="214"/>
      <c r="AI169" s="33"/>
      <c r="AJ169" s="33"/>
      <c r="AK169" s="33"/>
      <c r="AL169" s="33"/>
      <c r="AM169" s="33"/>
      <c r="AN169" s="33"/>
      <c r="AO169" s="33"/>
      <c r="AP169" s="214"/>
      <c r="AQ169" s="214"/>
      <c r="AR169" s="33"/>
      <c r="AS169" s="33"/>
      <c r="AT169" s="214"/>
      <c r="AU169" s="214"/>
      <c r="AV169" s="33"/>
      <c r="AW169" s="33"/>
      <c r="AX169" s="33"/>
      <c r="AY169" s="214"/>
      <c r="AZ169" s="214"/>
      <c r="BA169" s="33"/>
      <c r="BB169" s="227"/>
      <c r="BC169" s="33"/>
      <c r="BD169" s="33"/>
      <c r="BE169" s="214"/>
      <c r="BF169" s="214"/>
    </row>
    <row r="170" spans="1:58" s="37" customFormat="1" x14ac:dyDescent="0.3">
      <c r="A170" s="134"/>
      <c r="B170" s="134"/>
      <c r="D170" s="51"/>
      <c r="G170" s="36"/>
      <c r="H170" s="36"/>
      <c r="I170" s="36"/>
      <c r="J170" s="36"/>
      <c r="K170" s="36"/>
      <c r="L170" s="36"/>
      <c r="M170" s="36"/>
      <c r="N170" s="36"/>
      <c r="O170" s="39"/>
      <c r="P170" s="40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4"/>
      <c r="AD170" s="33"/>
      <c r="AE170" s="34"/>
      <c r="AF170" s="33"/>
      <c r="AG170" s="33"/>
      <c r="AH170" s="214"/>
      <c r="AI170" s="33"/>
      <c r="AJ170" s="33"/>
      <c r="AK170" s="33"/>
      <c r="AL170" s="33"/>
      <c r="AM170" s="33"/>
      <c r="AN170" s="33"/>
      <c r="AO170" s="33"/>
      <c r="AP170" s="214"/>
      <c r="AQ170" s="214"/>
      <c r="AR170" s="33"/>
      <c r="AS170" s="33"/>
      <c r="AT170" s="214"/>
      <c r="AU170" s="214"/>
      <c r="AV170" s="33"/>
      <c r="AW170" s="33"/>
      <c r="AX170" s="33"/>
      <c r="AY170" s="214"/>
      <c r="AZ170" s="214"/>
      <c r="BA170" s="33"/>
      <c r="BB170" s="227"/>
      <c r="BC170" s="33"/>
      <c r="BD170" s="33"/>
      <c r="BE170" s="214"/>
      <c r="BF170" s="214"/>
    </row>
    <row r="171" spans="1:58" s="37" customFormat="1" x14ac:dyDescent="0.3">
      <c r="A171" s="134"/>
      <c r="B171" s="134"/>
      <c r="D171" s="51"/>
      <c r="G171" s="36"/>
      <c r="H171" s="36"/>
      <c r="I171" s="36"/>
      <c r="J171" s="36"/>
      <c r="K171" s="36"/>
      <c r="L171" s="36"/>
      <c r="M171" s="36"/>
      <c r="N171" s="36"/>
      <c r="O171" s="39"/>
      <c r="P171" s="40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4"/>
      <c r="AD171" s="33"/>
      <c r="AE171" s="34"/>
      <c r="AF171" s="33"/>
      <c r="AG171" s="33"/>
      <c r="AH171" s="214"/>
      <c r="AI171" s="33"/>
      <c r="AJ171" s="33"/>
      <c r="AK171" s="33"/>
      <c r="AL171" s="33"/>
      <c r="AM171" s="33"/>
      <c r="AN171" s="33"/>
      <c r="AO171" s="33"/>
      <c r="AP171" s="214"/>
      <c r="AQ171" s="214"/>
      <c r="AR171" s="33"/>
      <c r="AS171" s="33"/>
      <c r="AT171" s="214"/>
      <c r="AU171" s="214"/>
      <c r="AV171" s="33"/>
      <c r="AW171" s="33"/>
      <c r="AX171" s="33"/>
      <c r="AY171" s="214"/>
      <c r="AZ171" s="214"/>
      <c r="BA171" s="33"/>
      <c r="BB171" s="227"/>
      <c r="BC171" s="33"/>
      <c r="BD171" s="33"/>
      <c r="BE171" s="214"/>
      <c r="BF171" s="214"/>
    </row>
    <row r="172" spans="1:58" s="37" customFormat="1" x14ac:dyDescent="0.3">
      <c r="A172" s="134"/>
      <c r="B172" s="134"/>
      <c r="D172" s="51"/>
      <c r="G172" s="36"/>
      <c r="H172" s="36"/>
      <c r="I172" s="36"/>
      <c r="J172" s="36"/>
      <c r="K172" s="36"/>
      <c r="L172" s="36"/>
      <c r="M172" s="36"/>
      <c r="N172" s="36"/>
      <c r="O172" s="39"/>
      <c r="P172" s="40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4"/>
      <c r="AD172" s="33"/>
      <c r="AE172" s="34"/>
      <c r="AF172" s="33"/>
      <c r="AG172" s="33"/>
      <c r="AH172" s="214"/>
      <c r="AI172" s="33"/>
      <c r="AJ172" s="33"/>
      <c r="AK172" s="33"/>
      <c r="AL172" s="33"/>
      <c r="AM172" s="33"/>
      <c r="AN172" s="33"/>
      <c r="AO172" s="33"/>
      <c r="AP172" s="214"/>
      <c r="AQ172" s="214"/>
      <c r="AR172" s="33"/>
      <c r="AS172" s="33"/>
      <c r="AT172" s="214"/>
      <c r="AU172" s="214"/>
      <c r="AV172" s="33"/>
      <c r="AW172" s="33"/>
      <c r="AX172" s="33"/>
      <c r="AY172" s="214"/>
      <c r="AZ172" s="214"/>
      <c r="BA172" s="33"/>
      <c r="BB172" s="227"/>
      <c r="BC172" s="33"/>
      <c r="BD172" s="33"/>
      <c r="BE172" s="214"/>
      <c r="BF172" s="214"/>
    </row>
    <row r="173" spans="1:58" s="37" customFormat="1" x14ac:dyDescent="0.3">
      <c r="A173" s="134"/>
      <c r="B173" s="134"/>
      <c r="D173" s="51"/>
      <c r="G173" s="36"/>
      <c r="H173" s="36"/>
      <c r="I173" s="36"/>
      <c r="J173" s="36"/>
      <c r="K173" s="36"/>
      <c r="L173" s="36"/>
      <c r="M173" s="36"/>
      <c r="N173" s="36"/>
      <c r="O173" s="39"/>
      <c r="P173" s="40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4"/>
      <c r="AD173" s="33"/>
      <c r="AE173" s="34"/>
      <c r="AF173" s="33"/>
      <c r="AG173" s="33"/>
      <c r="AH173" s="214"/>
      <c r="AI173" s="33"/>
      <c r="AJ173" s="33"/>
      <c r="AK173" s="33"/>
      <c r="AL173" s="33"/>
      <c r="AM173" s="33"/>
      <c r="AN173" s="33"/>
      <c r="AO173" s="33"/>
      <c r="AP173" s="214"/>
      <c r="AQ173" s="214"/>
      <c r="AR173" s="33"/>
      <c r="AS173" s="33"/>
      <c r="AT173" s="214"/>
      <c r="AU173" s="214"/>
      <c r="AV173" s="33"/>
      <c r="AW173" s="33"/>
      <c r="AX173" s="33"/>
      <c r="AY173" s="214"/>
      <c r="AZ173" s="214"/>
      <c r="BA173" s="33"/>
      <c r="BB173" s="227"/>
      <c r="BC173" s="33"/>
      <c r="BD173" s="33"/>
      <c r="BE173" s="214"/>
      <c r="BF173" s="214"/>
    </row>
    <row r="174" spans="1:58" s="37" customFormat="1" x14ac:dyDescent="0.3">
      <c r="A174" s="134"/>
      <c r="B174" s="134"/>
      <c r="D174" s="51"/>
      <c r="G174" s="36"/>
      <c r="H174" s="36"/>
      <c r="I174" s="36"/>
      <c r="J174" s="36"/>
      <c r="K174" s="36"/>
      <c r="L174" s="36"/>
      <c r="M174" s="36"/>
      <c r="N174" s="36"/>
      <c r="O174" s="39"/>
      <c r="P174" s="40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4"/>
      <c r="AD174" s="33"/>
      <c r="AE174" s="34"/>
      <c r="AF174" s="33"/>
      <c r="AG174" s="33"/>
      <c r="AH174" s="214"/>
      <c r="AI174" s="33"/>
      <c r="AJ174" s="33"/>
      <c r="AK174" s="33"/>
      <c r="AL174" s="33"/>
      <c r="AM174" s="33"/>
      <c r="AN174" s="33"/>
      <c r="AO174" s="33"/>
      <c r="AP174" s="214"/>
      <c r="AQ174" s="214"/>
      <c r="AR174" s="33"/>
      <c r="AS174" s="33"/>
      <c r="AT174" s="214"/>
      <c r="AU174" s="214"/>
      <c r="AV174" s="33"/>
      <c r="AW174" s="33"/>
      <c r="AX174" s="33"/>
      <c r="AY174" s="214"/>
      <c r="AZ174" s="214"/>
      <c r="BA174" s="33"/>
      <c r="BB174" s="227"/>
      <c r="BC174" s="33"/>
      <c r="BD174" s="33"/>
      <c r="BE174" s="214"/>
      <c r="BF174" s="214"/>
    </row>
    <row r="175" spans="1:58" s="37" customFormat="1" x14ac:dyDescent="0.3">
      <c r="A175" s="134"/>
      <c r="B175" s="134"/>
      <c r="D175" s="51"/>
      <c r="G175" s="36"/>
      <c r="H175" s="36"/>
      <c r="I175" s="36"/>
      <c r="J175" s="36"/>
      <c r="K175" s="36"/>
      <c r="L175" s="36"/>
      <c r="M175" s="36"/>
      <c r="N175" s="36"/>
      <c r="O175" s="39"/>
      <c r="P175" s="40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4"/>
      <c r="AD175" s="33"/>
      <c r="AE175" s="34"/>
      <c r="AF175" s="33"/>
      <c r="AG175" s="33"/>
      <c r="AH175" s="214"/>
      <c r="AI175" s="33"/>
      <c r="AJ175" s="33"/>
      <c r="AK175" s="33"/>
      <c r="AL175" s="33"/>
      <c r="AM175" s="33"/>
      <c r="AN175" s="33"/>
      <c r="AO175" s="33"/>
      <c r="AP175" s="214"/>
      <c r="AQ175" s="214"/>
      <c r="AR175" s="33"/>
      <c r="AS175" s="33"/>
      <c r="AT175" s="214"/>
      <c r="AU175" s="214"/>
      <c r="AV175" s="33"/>
      <c r="AW175" s="33"/>
      <c r="AX175" s="33"/>
      <c r="AY175" s="214"/>
      <c r="AZ175" s="214"/>
      <c r="BA175" s="33"/>
      <c r="BB175" s="227"/>
      <c r="BC175" s="33"/>
      <c r="BD175" s="33"/>
      <c r="BE175" s="214"/>
      <c r="BF175" s="214"/>
    </row>
    <row r="176" spans="1:58" s="37" customFormat="1" x14ac:dyDescent="0.3">
      <c r="A176" s="134"/>
      <c r="B176" s="134"/>
      <c r="D176" s="51"/>
      <c r="G176" s="36"/>
      <c r="H176" s="36"/>
      <c r="I176" s="36"/>
      <c r="J176" s="36"/>
      <c r="K176" s="36"/>
      <c r="L176" s="36"/>
      <c r="M176" s="36"/>
      <c r="N176" s="36"/>
      <c r="O176" s="39"/>
      <c r="P176" s="40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4"/>
      <c r="AD176" s="33"/>
      <c r="AE176" s="34"/>
      <c r="AF176" s="33"/>
      <c r="AG176" s="33"/>
      <c r="AH176" s="214"/>
      <c r="AI176" s="33"/>
      <c r="AJ176" s="33"/>
      <c r="AK176" s="33"/>
      <c r="AL176" s="33"/>
      <c r="AM176" s="33"/>
      <c r="AN176" s="33"/>
      <c r="AO176" s="33"/>
      <c r="AP176" s="214"/>
      <c r="AQ176" s="214"/>
      <c r="AR176" s="33"/>
      <c r="AS176" s="33"/>
      <c r="AT176" s="214"/>
      <c r="AU176" s="214"/>
      <c r="AV176" s="33"/>
      <c r="AW176" s="33"/>
      <c r="AX176" s="33"/>
      <c r="AY176" s="214"/>
      <c r="AZ176" s="214"/>
      <c r="BA176" s="33"/>
      <c r="BB176" s="227"/>
      <c r="BC176" s="33"/>
      <c r="BD176" s="33"/>
      <c r="BE176" s="214"/>
      <c r="BF176" s="214"/>
    </row>
    <row r="177" spans="1:58" s="37" customFormat="1" x14ac:dyDescent="0.3">
      <c r="A177" s="134"/>
      <c r="B177" s="134"/>
      <c r="D177" s="51"/>
      <c r="G177" s="36"/>
      <c r="H177" s="36"/>
      <c r="I177" s="36"/>
      <c r="J177" s="36"/>
      <c r="K177" s="36"/>
      <c r="L177" s="36"/>
      <c r="M177" s="36"/>
      <c r="N177" s="36"/>
      <c r="O177" s="39"/>
      <c r="P177" s="40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4"/>
      <c r="AD177" s="33"/>
      <c r="AE177" s="34"/>
      <c r="AF177" s="33"/>
      <c r="AG177" s="33"/>
      <c r="AH177" s="214"/>
      <c r="AI177" s="33"/>
      <c r="AJ177" s="33"/>
      <c r="AK177" s="33"/>
      <c r="AL177" s="33"/>
      <c r="AM177" s="33"/>
      <c r="AN177" s="33"/>
      <c r="AO177" s="33"/>
      <c r="AP177" s="214"/>
      <c r="AQ177" s="214"/>
      <c r="AR177" s="33"/>
      <c r="AS177" s="33"/>
      <c r="AT177" s="214"/>
      <c r="AU177" s="214"/>
      <c r="AV177" s="33"/>
      <c r="AW177" s="33"/>
      <c r="AX177" s="33"/>
      <c r="AY177" s="214"/>
      <c r="AZ177" s="214"/>
      <c r="BA177" s="33"/>
      <c r="BB177" s="227"/>
      <c r="BC177" s="33"/>
      <c r="BD177" s="33"/>
      <c r="BE177" s="214"/>
      <c r="BF177" s="214"/>
    </row>
    <row r="178" spans="1:58" s="37" customFormat="1" x14ac:dyDescent="0.3">
      <c r="A178" s="134"/>
      <c r="B178" s="134"/>
      <c r="D178" s="51"/>
      <c r="G178" s="36"/>
      <c r="H178" s="36"/>
      <c r="I178" s="36"/>
      <c r="J178" s="36"/>
      <c r="K178" s="36"/>
      <c r="L178" s="36"/>
      <c r="M178" s="36"/>
      <c r="N178" s="36"/>
      <c r="O178" s="39"/>
      <c r="P178" s="40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4"/>
      <c r="AD178" s="33"/>
      <c r="AE178" s="34"/>
      <c r="AF178" s="33"/>
      <c r="AG178" s="33"/>
      <c r="AH178" s="214"/>
      <c r="AI178" s="33"/>
      <c r="AJ178" s="33"/>
      <c r="AK178" s="33"/>
      <c r="AL178" s="33"/>
      <c r="AM178" s="33"/>
      <c r="AN178" s="33"/>
      <c r="AO178" s="33"/>
      <c r="AP178" s="214"/>
      <c r="AQ178" s="214"/>
      <c r="AR178" s="33"/>
      <c r="AS178" s="33"/>
      <c r="AT178" s="214"/>
      <c r="AU178" s="214"/>
      <c r="AV178" s="33"/>
      <c r="AW178" s="33"/>
      <c r="AX178" s="33"/>
      <c r="AY178" s="214"/>
      <c r="AZ178" s="214"/>
      <c r="BA178" s="33"/>
      <c r="BB178" s="227"/>
      <c r="BC178" s="33"/>
      <c r="BD178" s="33"/>
      <c r="BE178" s="214"/>
      <c r="BF178" s="214"/>
    </row>
    <row r="179" spans="1:58" s="37" customFormat="1" x14ac:dyDescent="0.3">
      <c r="A179" s="134"/>
      <c r="B179" s="134"/>
      <c r="D179" s="51"/>
      <c r="G179" s="36"/>
      <c r="H179" s="36"/>
      <c r="I179" s="36"/>
      <c r="J179" s="36"/>
      <c r="K179" s="36"/>
      <c r="L179" s="36"/>
      <c r="M179" s="36"/>
      <c r="N179" s="36"/>
      <c r="O179" s="39"/>
      <c r="P179" s="40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4"/>
      <c r="AD179" s="33"/>
      <c r="AE179" s="34"/>
      <c r="AF179" s="33"/>
      <c r="AG179" s="33"/>
      <c r="AH179" s="214"/>
      <c r="AI179" s="33"/>
      <c r="AJ179" s="33"/>
      <c r="AK179" s="33"/>
      <c r="AL179" s="33"/>
      <c r="AM179" s="33"/>
      <c r="AN179" s="33"/>
      <c r="AO179" s="33"/>
      <c r="AP179" s="214"/>
      <c r="AQ179" s="214"/>
      <c r="AR179" s="33"/>
      <c r="AS179" s="33"/>
      <c r="AT179" s="214"/>
      <c r="AU179" s="214"/>
      <c r="AV179" s="33"/>
      <c r="AW179" s="33"/>
      <c r="AX179" s="33"/>
      <c r="AY179" s="214"/>
      <c r="AZ179" s="214"/>
      <c r="BA179" s="33"/>
      <c r="BB179" s="227"/>
      <c r="BC179" s="33"/>
      <c r="BD179" s="33"/>
      <c r="BE179" s="214"/>
      <c r="BF179" s="214"/>
    </row>
    <row r="180" spans="1:58" s="37" customFormat="1" x14ac:dyDescent="0.3">
      <c r="A180" s="134"/>
      <c r="B180" s="134"/>
      <c r="D180" s="51"/>
      <c r="G180" s="36"/>
      <c r="H180" s="36"/>
      <c r="I180" s="36"/>
      <c r="J180" s="36"/>
      <c r="K180" s="36"/>
      <c r="L180" s="36"/>
      <c r="M180" s="36"/>
      <c r="N180" s="36"/>
      <c r="O180" s="39"/>
      <c r="P180" s="40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4"/>
      <c r="AD180" s="33"/>
      <c r="AE180" s="34"/>
      <c r="AF180" s="33"/>
      <c r="AG180" s="33"/>
      <c r="AH180" s="214"/>
      <c r="AI180" s="33"/>
      <c r="AJ180" s="33"/>
      <c r="AK180" s="33"/>
      <c r="AL180" s="33"/>
      <c r="AM180" s="33"/>
      <c r="AN180" s="33"/>
      <c r="AO180" s="33"/>
      <c r="AP180" s="214"/>
      <c r="AQ180" s="214"/>
      <c r="AR180" s="33"/>
      <c r="AS180" s="33"/>
      <c r="AT180" s="214"/>
      <c r="AU180" s="214"/>
      <c r="AV180" s="33"/>
      <c r="AW180" s="33"/>
      <c r="AX180" s="33"/>
      <c r="AY180" s="214"/>
      <c r="AZ180" s="214"/>
      <c r="BA180" s="33"/>
      <c r="BB180" s="227"/>
      <c r="BC180" s="33"/>
      <c r="BD180" s="33"/>
      <c r="BE180" s="214"/>
      <c r="BF180" s="214"/>
    </row>
    <row r="181" spans="1:58" s="37" customFormat="1" x14ac:dyDescent="0.3">
      <c r="A181" s="134"/>
      <c r="B181" s="134"/>
      <c r="D181" s="51"/>
      <c r="G181" s="36"/>
      <c r="H181" s="36"/>
      <c r="I181" s="36"/>
      <c r="J181" s="36"/>
      <c r="K181" s="36"/>
      <c r="L181" s="36"/>
      <c r="M181" s="36"/>
      <c r="N181" s="36"/>
      <c r="O181" s="39"/>
      <c r="P181" s="40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4"/>
      <c r="AD181" s="33"/>
      <c r="AE181" s="34"/>
      <c r="AF181" s="33"/>
      <c r="AG181" s="33"/>
      <c r="AH181" s="214"/>
      <c r="AI181" s="33"/>
      <c r="AJ181" s="33"/>
      <c r="AK181" s="33"/>
      <c r="AL181" s="33"/>
      <c r="AM181" s="33"/>
      <c r="AN181" s="33"/>
      <c r="AO181" s="33"/>
      <c r="AP181" s="214"/>
      <c r="AQ181" s="214"/>
      <c r="AR181" s="33"/>
      <c r="AS181" s="33"/>
      <c r="AT181" s="214"/>
      <c r="AU181" s="214"/>
      <c r="AV181" s="33"/>
      <c r="AW181" s="33"/>
      <c r="AX181" s="33"/>
      <c r="AY181" s="214"/>
      <c r="AZ181" s="214"/>
      <c r="BA181" s="33"/>
      <c r="BB181" s="227"/>
      <c r="BC181" s="33"/>
      <c r="BD181" s="33"/>
      <c r="BE181" s="214"/>
      <c r="BF181" s="214"/>
    </row>
    <row r="182" spans="1:58" s="37" customFormat="1" x14ac:dyDescent="0.3">
      <c r="A182" s="134"/>
      <c r="B182" s="134"/>
      <c r="D182" s="51"/>
      <c r="G182" s="36"/>
      <c r="H182" s="36"/>
      <c r="I182" s="36"/>
      <c r="J182" s="36"/>
      <c r="K182" s="36"/>
      <c r="L182" s="36"/>
      <c r="M182" s="36"/>
      <c r="N182" s="36"/>
      <c r="O182" s="39"/>
      <c r="P182" s="40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4"/>
      <c r="AD182" s="33"/>
      <c r="AE182" s="34"/>
      <c r="AF182" s="33"/>
      <c r="AG182" s="33"/>
      <c r="AH182" s="214"/>
      <c r="AI182" s="33"/>
      <c r="AJ182" s="33"/>
      <c r="AK182" s="33"/>
      <c r="AL182" s="33"/>
      <c r="AM182" s="33"/>
      <c r="AN182" s="33"/>
      <c r="AO182" s="33"/>
      <c r="AP182" s="214"/>
      <c r="AQ182" s="214"/>
      <c r="AR182" s="33"/>
      <c r="AS182" s="33"/>
      <c r="AT182" s="214"/>
      <c r="AU182" s="214"/>
      <c r="AV182" s="33"/>
      <c r="AW182" s="33"/>
      <c r="AX182" s="33"/>
      <c r="AY182" s="214"/>
      <c r="AZ182" s="214"/>
      <c r="BA182" s="33"/>
      <c r="BB182" s="227"/>
      <c r="BC182" s="33"/>
      <c r="BD182" s="33"/>
      <c r="BE182" s="214"/>
      <c r="BF182" s="214"/>
    </row>
    <row r="183" spans="1:58" s="37" customFormat="1" x14ac:dyDescent="0.3">
      <c r="A183" s="134"/>
      <c r="B183" s="134"/>
      <c r="D183" s="51"/>
      <c r="G183" s="36"/>
      <c r="H183" s="36"/>
      <c r="I183" s="36"/>
      <c r="J183" s="36"/>
      <c r="K183" s="36"/>
      <c r="L183" s="36"/>
      <c r="M183" s="36"/>
      <c r="N183" s="36"/>
      <c r="O183" s="39"/>
      <c r="P183" s="40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4"/>
      <c r="AD183" s="33"/>
      <c r="AE183" s="34"/>
      <c r="AF183" s="33"/>
      <c r="AG183" s="33"/>
      <c r="AH183" s="214"/>
      <c r="AI183" s="33"/>
      <c r="AJ183" s="33"/>
      <c r="AK183" s="33"/>
      <c r="AL183" s="33"/>
      <c r="AM183" s="33"/>
      <c r="AN183" s="33"/>
      <c r="AO183" s="33"/>
      <c r="AP183" s="214"/>
      <c r="AQ183" s="214"/>
      <c r="AR183" s="33"/>
      <c r="AS183" s="33"/>
      <c r="AT183" s="214"/>
      <c r="AU183" s="214"/>
      <c r="AV183" s="33"/>
      <c r="AW183" s="33"/>
      <c r="AX183" s="33"/>
      <c r="AY183" s="214"/>
      <c r="AZ183" s="214"/>
      <c r="BA183" s="33"/>
      <c r="BB183" s="227"/>
      <c r="BC183" s="33"/>
      <c r="BD183" s="33"/>
      <c r="BE183" s="214"/>
      <c r="BF183" s="214"/>
    </row>
    <row r="184" spans="1:58" s="37" customFormat="1" x14ac:dyDescent="0.3">
      <c r="A184" s="134"/>
      <c r="B184" s="134"/>
      <c r="D184" s="51"/>
      <c r="G184" s="36"/>
      <c r="H184" s="36"/>
      <c r="I184" s="36"/>
      <c r="J184" s="36"/>
      <c r="K184" s="36"/>
      <c r="L184" s="36"/>
      <c r="M184" s="36"/>
      <c r="N184" s="36"/>
      <c r="O184" s="39"/>
      <c r="P184" s="40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4"/>
      <c r="AD184" s="33"/>
      <c r="AE184" s="34"/>
      <c r="AF184" s="33"/>
      <c r="AG184" s="33"/>
      <c r="AH184" s="214"/>
      <c r="AI184" s="33"/>
      <c r="AJ184" s="33"/>
      <c r="AK184" s="33"/>
      <c r="AL184" s="33"/>
      <c r="AM184" s="33"/>
      <c r="AN184" s="33"/>
      <c r="AO184" s="33"/>
      <c r="AP184" s="214"/>
      <c r="AQ184" s="214"/>
      <c r="AR184" s="33"/>
      <c r="AS184" s="33"/>
      <c r="AT184" s="214"/>
      <c r="AU184" s="214"/>
      <c r="AV184" s="33"/>
      <c r="AW184" s="33"/>
      <c r="AX184" s="33"/>
      <c r="AY184" s="214"/>
      <c r="AZ184" s="214"/>
      <c r="BA184" s="33"/>
      <c r="BB184" s="227"/>
      <c r="BC184" s="33"/>
      <c r="BD184" s="33"/>
      <c r="BE184" s="214"/>
      <c r="BF184" s="214"/>
    </row>
    <row r="185" spans="1:58" s="37" customFormat="1" x14ac:dyDescent="0.3">
      <c r="A185" s="134"/>
      <c r="B185" s="134"/>
      <c r="D185" s="51"/>
      <c r="G185" s="36"/>
      <c r="H185" s="36"/>
      <c r="I185" s="36"/>
      <c r="J185" s="36"/>
      <c r="K185" s="36"/>
      <c r="L185" s="36"/>
      <c r="M185" s="36"/>
      <c r="N185" s="36"/>
      <c r="O185" s="39"/>
      <c r="P185" s="40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4"/>
      <c r="AD185" s="33"/>
      <c r="AE185" s="34"/>
      <c r="AF185" s="33"/>
      <c r="AG185" s="33"/>
      <c r="AH185" s="214"/>
      <c r="AI185" s="33"/>
      <c r="AJ185" s="33"/>
      <c r="AK185" s="33"/>
      <c r="AL185" s="33"/>
      <c r="AM185" s="33"/>
      <c r="AN185" s="33"/>
      <c r="AO185" s="33"/>
      <c r="AP185" s="214"/>
      <c r="AQ185" s="214"/>
      <c r="AR185" s="33"/>
      <c r="AS185" s="33"/>
      <c r="AT185" s="214"/>
      <c r="AU185" s="214"/>
      <c r="AV185" s="33"/>
      <c r="AW185" s="33"/>
      <c r="AX185" s="33"/>
      <c r="AY185" s="214"/>
      <c r="AZ185" s="214"/>
      <c r="BA185" s="33"/>
      <c r="BB185" s="227"/>
      <c r="BC185" s="33"/>
      <c r="BD185" s="33"/>
      <c r="BE185" s="214"/>
      <c r="BF185" s="214"/>
    </row>
    <row r="186" spans="1:58" s="37" customFormat="1" x14ac:dyDescent="0.3">
      <c r="A186" s="134"/>
      <c r="B186" s="134"/>
      <c r="D186" s="51"/>
      <c r="G186" s="36"/>
      <c r="H186" s="36"/>
      <c r="I186" s="36"/>
      <c r="J186" s="36"/>
      <c r="K186" s="36"/>
      <c r="L186" s="36"/>
      <c r="M186" s="36"/>
      <c r="N186" s="36"/>
      <c r="O186" s="39"/>
      <c r="P186" s="40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4"/>
      <c r="AD186" s="33"/>
      <c r="AE186" s="34"/>
      <c r="AF186" s="33"/>
      <c r="AG186" s="33"/>
      <c r="AH186" s="214"/>
      <c r="AI186" s="33"/>
      <c r="AJ186" s="33"/>
      <c r="AK186" s="33"/>
      <c r="AL186" s="33"/>
      <c r="AM186" s="33"/>
      <c r="AN186" s="33"/>
      <c r="AO186" s="33"/>
      <c r="AP186" s="214"/>
      <c r="AQ186" s="214"/>
      <c r="AR186" s="33"/>
      <c r="AS186" s="33"/>
      <c r="AT186" s="214"/>
      <c r="AU186" s="214"/>
      <c r="AV186" s="33"/>
      <c r="AW186" s="33"/>
      <c r="AX186" s="33"/>
      <c r="AY186" s="214"/>
      <c r="AZ186" s="214"/>
      <c r="BA186" s="33"/>
      <c r="BB186" s="227"/>
      <c r="BC186" s="33"/>
      <c r="BD186" s="33"/>
      <c r="BE186" s="214"/>
      <c r="BF186" s="214"/>
    </row>
    <row r="187" spans="1:58" s="37" customFormat="1" x14ac:dyDescent="0.3">
      <c r="A187" s="134"/>
      <c r="B187" s="134"/>
      <c r="D187" s="51"/>
      <c r="G187" s="36"/>
      <c r="H187" s="36"/>
      <c r="I187" s="36"/>
      <c r="J187" s="36"/>
      <c r="K187" s="36"/>
      <c r="L187" s="36"/>
      <c r="M187" s="36"/>
      <c r="N187" s="36"/>
      <c r="O187" s="39"/>
      <c r="P187" s="40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4"/>
      <c r="AD187" s="33"/>
      <c r="AE187" s="34"/>
      <c r="AF187" s="33"/>
      <c r="AG187" s="33"/>
      <c r="AH187" s="214"/>
      <c r="AI187" s="33"/>
      <c r="AJ187" s="33"/>
      <c r="AK187" s="33"/>
      <c r="AL187" s="33"/>
      <c r="AM187" s="33"/>
      <c r="AN187" s="33"/>
      <c r="AO187" s="33"/>
      <c r="AP187" s="214"/>
      <c r="AQ187" s="214"/>
      <c r="AR187" s="33"/>
      <c r="AS187" s="33"/>
      <c r="AT187" s="214"/>
      <c r="AU187" s="214"/>
      <c r="AV187" s="33"/>
      <c r="AW187" s="33"/>
      <c r="AX187" s="33"/>
      <c r="AY187" s="214"/>
      <c r="AZ187" s="214"/>
      <c r="BA187" s="33"/>
      <c r="BB187" s="227"/>
      <c r="BC187" s="33"/>
      <c r="BD187" s="33"/>
      <c r="BE187" s="214"/>
      <c r="BF187" s="214"/>
    </row>
    <row r="188" spans="1:58" s="37" customFormat="1" x14ac:dyDescent="0.3">
      <c r="A188" s="134"/>
      <c r="B188" s="134"/>
      <c r="D188" s="51"/>
      <c r="G188" s="36"/>
      <c r="H188" s="36"/>
      <c r="I188" s="36"/>
      <c r="J188" s="36"/>
      <c r="K188" s="36"/>
      <c r="L188" s="36"/>
      <c r="M188" s="36"/>
      <c r="N188" s="36"/>
      <c r="O188" s="39"/>
      <c r="P188" s="40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4"/>
      <c r="AD188" s="33"/>
      <c r="AE188" s="34"/>
      <c r="AF188" s="33"/>
      <c r="AG188" s="33"/>
      <c r="AH188" s="214"/>
      <c r="AI188" s="33"/>
      <c r="AJ188" s="33"/>
      <c r="AK188" s="33"/>
      <c r="AL188" s="33"/>
      <c r="AM188" s="33"/>
      <c r="AN188" s="33"/>
      <c r="AO188" s="33"/>
      <c r="AP188" s="214"/>
      <c r="AQ188" s="214"/>
      <c r="AR188" s="33"/>
      <c r="AS188" s="33"/>
      <c r="AT188" s="214"/>
      <c r="AU188" s="214"/>
      <c r="AV188" s="33"/>
      <c r="AW188" s="33"/>
      <c r="AX188" s="33"/>
      <c r="AY188" s="214"/>
      <c r="AZ188" s="214"/>
      <c r="BA188" s="33"/>
      <c r="BB188" s="227"/>
      <c r="BC188" s="33"/>
      <c r="BD188" s="33"/>
      <c r="BE188" s="214"/>
      <c r="BF188" s="214"/>
    </row>
    <row r="189" spans="1:58" s="37" customFormat="1" x14ac:dyDescent="0.3">
      <c r="A189" s="134"/>
      <c r="B189" s="134"/>
      <c r="D189" s="51"/>
      <c r="G189" s="36"/>
      <c r="H189" s="36"/>
      <c r="I189" s="36"/>
      <c r="J189" s="36"/>
      <c r="K189" s="36"/>
      <c r="L189" s="36"/>
      <c r="M189" s="36"/>
      <c r="N189" s="36"/>
      <c r="O189" s="39"/>
      <c r="P189" s="40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4"/>
      <c r="AD189" s="33"/>
      <c r="AE189" s="34"/>
      <c r="AF189" s="33"/>
      <c r="AG189" s="33"/>
      <c r="AH189" s="214"/>
      <c r="AI189" s="33"/>
      <c r="AJ189" s="33"/>
      <c r="AK189" s="33"/>
      <c r="AL189" s="33"/>
      <c r="AM189" s="33"/>
      <c r="AN189" s="33"/>
      <c r="AO189" s="33"/>
      <c r="AP189" s="214"/>
      <c r="AQ189" s="214"/>
      <c r="AR189" s="33"/>
      <c r="AS189" s="33"/>
      <c r="AT189" s="214"/>
      <c r="AU189" s="214"/>
      <c r="AV189" s="33"/>
      <c r="AW189" s="33"/>
      <c r="AX189" s="33"/>
      <c r="AY189" s="214"/>
      <c r="AZ189" s="214"/>
      <c r="BA189" s="33"/>
      <c r="BB189" s="227"/>
      <c r="BC189" s="33"/>
      <c r="BD189" s="33"/>
      <c r="BE189" s="214"/>
      <c r="BF189" s="214"/>
    </row>
    <row r="190" spans="1:58" s="37" customFormat="1" x14ac:dyDescent="0.3">
      <c r="A190" s="134"/>
      <c r="B190" s="134"/>
      <c r="D190" s="51"/>
      <c r="G190" s="36"/>
      <c r="H190" s="36"/>
      <c r="I190" s="36"/>
      <c r="J190" s="36"/>
      <c r="K190" s="36"/>
      <c r="L190" s="36"/>
      <c r="M190" s="36"/>
      <c r="N190" s="36"/>
      <c r="O190" s="39"/>
      <c r="P190" s="40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4"/>
      <c r="AD190" s="33"/>
      <c r="AE190" s="34"/>
      <c r="AF190" s="33"/>
      <c r="AG190" s="33"/>
      <c r="AH190" s="214"/>
      <c r="AI190" s="33"/>
      <c r="AJ190" s="33"/>
      <c r="AK190" s="33"/>
      <c r="AL190" s="33"/>
      <c r="AM190" s="33"/>
      <c r="AN190" s="33"/>
      <c r="AO190" s="33"/>
      <c r="AP190" s="214"/>
      <c r="AQ190" s="214"/>
      <c r="AR190" s="33"/>
      <c r="AS190" s="33"/>
      <c r="AT190" s="214"/>
      <c r="AU190" s="214"/>
      <c r="AV190" s="33"/>
      <c r="AW190" s="33"/>
      <c r="AX190" s="33"/>
      <c r="AY190" s="214"/>
      <c r="AZ190" s="214"/>
      <c r="BA190" s="33"/>
      <c r="BB190" s="227"/>
      <c r="BC190" s="33"/>
      <c r="BD190" s="33"/>
      <c r="BE190" s="214"/>
      <c r="BF190" s="214"/>
    </row>
    <row r="191" spans="1:58" s="37" customFormat="1" x14ac:dyDescent="0.3">
      <c r="A191" s="134"/>
      <c r="B191" s="134"/>
      <c r="D191" s="51"/>
      <c r="G191" s="36"/>
      <c r="H191" s="36"/>
      <c r="I191" s="36"/>
      <c r="J191" s="36"/>
      <c r="K191" s="36"/>
      <c r="L191" s="36"/>
      <c r="M191" s="36"/>
      <c r="N191" s="36"/>
      <c r="O191" s="39"/>
      <c r="P191" s="40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4"/>
      <c r="AD191" s="33"/>
      <c r="AE191" s="34"/>
      <c r="AF191" s="33"/>
      <c r="AG191" s="33"/>
      <c r="AH191" s="214"/>
      <c r="AI191" s="33"/>
      <c r="AJ191" s="33"/>
      <c r="AK191" s="33"/>
      <c r="AL191" s="33"/>
      <c r="AM191" s="33"/>
      <c r="AN191" s="33"/>
      <c r="AO191" s="33"/>
      <c r="AP191" s="214"/>
      <c r="AQ191" s="214"/>
      <c r="AR191" s="33"/>
      <c r="AS191" s="33"/>
      <c r="AT191" s="214"/>
      <c r="AU191" s="214"/>
      <c r="AV191" s="33"/>
      <c r="AW191" s="33"/>
      <c r="AX191" s="33"/>
      <c r="AY191" s="214"/>
      <c r="AZ191" s="214"/>
      <c r="BA191" s="33"/>
      <c r="BB191" s="227"/>
      <c r="BC191" s="33"/>
      <c r="BD191" s="33"/>
      <c r="BE191" s="214"/>
      <c r="BF191" s="214"/>
    </row>
    <row r="192" spans="1:58" s="37" customFormat="1" x14ac:dyDescent="0.3">
      <c r="A192" s="134"/>
      <c r="B192" s="134"/>
      <c r="D192" s="51"/>
      <c r="G192" s="36"/>
      <c r="H192" s="36"/>
      <c r="I192" s="36"/>
      <c r="J192" s="36"/>
      <c r="K192" s="36"/>
      <c r="L192" s="36"/>
      <c r="M192" s="36"/>
      <c r="N192" s="36"/>
      <c r="O192" s="39"/>
      <c r="P192" s="40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4"/>
      <c r="AD192" s="33"/>
      <c r="AE192" s="34"/>
      <c r="AF192" s="33"/>
      <c r="AG192" s="33"/>
      <c r="AH192" s="214"/>
      <c r="AI192" s="33"/>
      <c r="AJ192" s="33"/>
      <c r="AK192" s="33"/>
      <c r="AL192" s="33"/>
      <c r="AM192" s="33"/>
      <c r="AN192" s="33"/>
      <c r="AO192" s="33"/>
      <c r="AP192" s="214"/>
      <c r="AQ192" s="214"/>
      <c r="AR192" s="33"/>
      <c r="AS192" s="33"/>
      <c r="AT192" s="214"/>
      <c r="AU192" s="214"/>
      <c r="AV192" s="33"/>
      <c r="AW192" s="33"/>
      <c r="AX192" s="33"/>
      <c r="AY192" s="214"/>
      <c r="AZ192" s="214"/>
      <c r="BA192" s="33"/>
      <c r="BB192" s="227"/>
      <c r="BC192" s="33"/>
      <c r="BD192" s="33"/>
      <c r="BE192" s="214"/>
      <c r="BF192" s="214"/>
    </row>
    <row r="193" spans="1:58" s="37" customFormat="1" x14ac:dyDescent="0.3">
      <c r="A193" s="134"/>
      <c r="B193" s="134"/>
      <c r="D193" s="51"/>
      <c r="G193" s="36"/>
      <c r="H193" s="36"/>
      <c r="I193" s="36"/>
      <c r="J193" s="36"/>
      <c r="K193" s="36"/>
      <c r="L193" s="36"/>
      <c r="M193" s="36"/>
      <c r="N193" s="36"/>
      <c r="O193" s="39"/>
      <c r="P193" s="40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4"/>
      <c r="AD193" s="33"/>
      <c r="AE193" s="34"/>
      <c r="AF193" s="33"/>
      <c r="AG193" s="33"/>
      <c r="AH193" s="214"/>
      <c r="AI193" s="33"/>
      <c r="AJ193" s="33"/>
      <c r="AK193" s="33"/>
      <c r="AL193" s="33"/>
      <c r="AM193" s="33"/>
      <c r="AN193" s="33"/>
      <c r="AO193" s="33"/>
      <c r="AP193" s="214"/>
      <c r="AQ193" s="214"/>
      <c r="AR193" s="33"/>
      <c r="AS193" s="33"/>
      <c r="AT193" s="214"/>
      <c r="AU193" s="214"/>
      <c r="AV193" s="33"/>
      <c r="AW193" s="33"/>
      <c r="AX193" s="33"/>
      <c r="AY193" s="214"/>
      <c r="AZ193" s="214"/>
      <c r="BA193" s="33"/>
      <c r="BB193" s="227"/>
      <c r="BC193" s="33"/>
      <c r="BD193" s="33"/>
      <c r="BE193" s="214"/>
      <c r="BF193" s="214"/>
    </row>
    <row r="194" spans="1:58" s="37" customFormat="1" x14ac:dyDescent="0.3">
      <c r="A194" s="134"/>
      <c r="B194" s="134"/>
      <c r="D194" s="51"/>
      <c r="G194" s="36"/>
      <c r="H194" s="36"/>
      <c r="I194" s="36"/>
      <c r="J194" s="36"/>
      <c r="K194" s="36"/>
      <c r="L194" s="36"/>
      <c r="M194" s="36"/>
      <c r="N194" s="36"/>
      <c r="O194" s="39"/>
      <c r="P194" s="40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4"/>
      <c r="AD194" s="33"/>
      <c r="AE194" s="34"/>
      <c r="AF194" s="33"/>
      <c r="AG194" s="33"/>
      <c r="AH194" s="214"/>
      <c r="AI194" s="33"/>
      <c r="AJ194" s="33"/>
      <c r="AK194" s="33"/>
      <c r="AL194" s="33"/>
      <c r="AM194" s="33"/>
      <c r="AN194" s="33"/>
      <c r="AO194" s="33"/>
      <c r="AP194" s="214"/>
      <c r="AQ194" s="214"/>
      <c r="AR194" s="33"/>
      <c r="AS194" s="33"/>
      <c r="AT194" s="214"/>
      <c r="AU194" s="214"/>
      <c r="AV194" s="33"/>
      <c r="AW194" s="33"/>
      <c r="AX194" s="33"/>
      <c r="AY194" s="214"/>
      <c r="AZ194" s="214"/>
      <c r="BA194" s="33"/>
      <c r="BB194" s="227"/>
      <c r="BC194" s="33"/>
      <c r="BD194" s="33"/>
      <c r="BE194" s="214"/>
      <c r="BF194" s="214"/>
    </row>
    <row r="195" spans="1:58" s="37" customFormat="1" x14ac:dyDescent="0.3">
      <c r="A195" s="134"/>
      <c r="B195" s="134"/>
      <c r="D195" s="51"/>
      <c r="G195" s="36"/>
      <c r="H195" s="36"/>
      <c r="I195" s="36"/>
      <c r="J195" s="36"/>
      <c r="K195" s="36"/>
      <c r="L195" s="36"/>
      <c r="M195" s="36"/>
      <c r="N195" s="36"/>
      <c r="O195" s="39"/>
      <c r="P195" s="40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4"/>
      <c r="AD195" s="33"/>
      <c r="AE195" s="34"/>
      <c r="AF195" s="33"/>
      <c r="AG195" s="33"/>
      <c r="AH195" s="214"/>
      <c r="AI195" s="33"/>
      <c r="AJ195" s="33"/>
      <c r="AK195" s="33"/>
      <c r="AL195" s="33"/>
      <c r="AM195" s="33"/>
      <c r="AN195" s="33"/>
      <c r="AO195" s="33"/>
      <c r="AP195" s="214"/>
      <c r="AQ195" s="214"/>
      <c r="AR195" s="33"/>
      <c r="AS195" s="33"/>
      <c r="AT195" s="214"/>
      <c r="AU195" s="214"/>
      <c r="AV195" s="33"/>
      <c r="AW195" s="33"/>
      <c r="AX195" s="33"/>
      <c r="AY195" s="214"/>
      <c r="AZ195" s="214"/>
      <c r="BA195" s="33"/>
      <c r="BB195" s="227"/>
      <c r="BC195" s="33"/>
      <c r="BD195" s="33"/>
      <c r="BE195" s="214"/>
      <c r="BF195" s="214"/>
    </row>
    <row r="196" spans="1:58" s="37" customFormat="1" x14ac:dyDescent="0.3">
      <c r="A196" s="134"/>
      <c r="B196" s="134"/>
      <c r="D196" s="51"/>
      <c r="G196" s="36"/>
      <c r="H196" s="36"/>
      <c r="I196" s="36"/>
      <c r="J196" s="36"/>
      <c r="K196" s="36"/>
      <c r="L196" s="36"/>
      <c r="M196" s="36"/>
      <c r="N196" s="36"/>
      <c r="O196" s="39"/>
      <c r="P196" s="40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4"/>
      <c r="AD196" s="33"/>
      <c r="AE196" s="34"/>
      <c r="AF196" s="33"/>
      <c r="AG196" s="33"/>
      <c r="AH196" s="214"/>
      <c r="AI196" s="33"/>
      <c r="AJ196" s="33"/>
      <c r="AK196" s="33"/>
      <c r="AL196" s="33"/>
      <c r="AM196" s="33"/>
      <c r="AN196" s="33"/>
      <c r="AO196" s="33"/>
      <c r="AP196" s="214"/>
      <c r="AQ196" s="214"/>
      <c r="AR196" s="33"/>
      <c r="AS196" s="33"/>
      <c r="AT196" s="214"/>
      <c r="AU196" s="214"/>
      <c r="AV196" s="33"/>
      <c r="AW196" s="33"/>
      <c r="AX196" s="33"/>
      <c r="AY196" s="214"/>
      <c r="AZ196" s="214"/>
      <c r="BA196" s="33"/>
      <c r="BB196" s="227"/>
      <c r="BC196" s="33"/>
      <c r="BD196" s="33"/>
      <c r="BE196" s="214"/>
      <c r="BF196" s="214"/>
    </row>
  </sheetData>
  <protectedRanges>
    <protectedRange sqref="D50:D69 D38 D90:D95 D72:D83 D11:D27" name="Auswahlfelder"/>
  </protectedRanges>
  <mergeCells count="17">
    <mergeCell ref="O1:Q1"/>
    <mergeCell ref="H3:N3"/>
    <mergeCell ref="E1:F1"/>
    <mergeCell ref="E2:F2"/>
    <mergeCell ref="E3:F3"/>
    <mergeCell ref="H1:N1"/>
    <mergeCell ref="H2:N2"/>
    <mergeCell ref="D119:D120"/>
    <mergeCell ref="G119:N119"/>
    <mergeCell ref="D122:D124"/>
    <mergeCell ref="H4:N4"/>
    <mergeCell ref="H5:N5"/>
    <mergeCell ref="AW126:BA126"/>
    <mergeCell ref="AR126:AV126"/>
    <mergeCell ref="BB126:BD126"/>
    <mergeCell ref="AN126:AQ126"/>
    <mergeCell ref="G7:G8"/>
  </mergeCells>
  <phoneticPr fontId="6" type="noConversion"/>
  <conditionalFormatting sqref="G124:N124">
    <cfRule type="colorScale" priority="2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0:N120">
    <cfRule type="cellIs" dxfId="169" priority="268" operator="lessThan">
      <formula>0</formula>
    </cfRule>
    <cfRule type="colorScale" priority="2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16:K116 G117:L117 M116">
    <cfRule type="cellIs" dxfId="168" priority="267" operator="lessThan">
      <formula>0</formula>
    </cfRule>
  </conditionalFormatting>
  <conditionalFormatting sqref="G69:N69 G34 G46:N66 H90:N90 G96:N110 G44:J44 G11:N18 G72:N77 G28:N30 G79:N82 G20:N24">
    <cfRule type="expression" dxfId="167" priority="271">
      <formula>AND($D11="x",G11="")</formula>
    </cfRule>
    <cfRule type="expression" dxfId="166" priority="273">
      <formula>AND($D11="x",G11="µ")</formula>
    </cfRule>
  </conditionalFormatting>
  <conditionalFormatting sqref="G114:N114">
    <cfRule type="top10" dxfId="165" priority="259" bottom="1" rank="1"/>
    <cfRule type="colorScale" priority="2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F130:AF148">
    <cfRule type="colorScale" priority="2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49">
    <cfRule type="colorScale" priority="2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50">
    <cfRule type="colorScale" priority="2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7:N68">
    <cfRule type="expression" dxfId="164" priority="254">
      <formula>AND($D67="x",G67="")</formula>
    </cfRule>
    <cfRule type="expression" dxfId="163" priority="255">
      <formula>AND($D67="x",G67="µ")</formula>
    </cfRule>
  </conditionalFormatting>
  <conditionalFormatting sqref="I34:N34">
    <cfRule type="expression" dxfId="162" priority="244">
      <formula>AND($D34="x",I34="")</formula>
    </cfRule>
    <cfRule type="expression" dxfId="161" priority="245">
      <formula>AND($D34="x",I34="µ")</formula>
    </cfRule>
  </conditionalFormatting>
  <conditionalFormatting sqref="H34">
    <cfRule type="expression" dxfId="160" priority="242">
      <formula>AND($D34="x",H34="")</formula>
    </cfRule>
    <cfRule type="expression" dxfId="159" priority="243">
      <formula>AND($D34="x",H34="µ")</formula>
    </cfRule>
  </conditionalFormatting>
  <conditionalFormatting sqref="G35">
    <cfRule type="expression" dxfId="158" priority="240">
      <formula>AND($D35="x",G35="")</formula>
    </cfRule>
    <cfRule type="expression" dxfId="157" priority="241">
      <formula>AND($D35="x",G35="µ")</formula>
    </cfRule>
  </conditionalFormatting>
  <conditionalFormatting sqref="I35:N35">
    <cfRule type="expression" dxfId="156" priority="238">
      <formula>AND($D35="x",I35="")</formula>
    </cfRule>
    <cfRule type="expression" dxfId="155" priority="239">
      <formula>AND($D35="x",I35="µ")</formula>
    </cfRule>
  </conditionalFormatting>
  <conditionalFormatting sqref="H35">
    <cfRule type="expression" dxfId="154" priority="236">
      <formula>AND($D35="x",H35="")</formula>
    </cfRule>
    <cfRule type="expression" dxfId="153" priority="237">
      <formula>AND($D35="x",H35="µ")</formula>
    </cfRule>
  </conditionalFormatting>
  <conditionalFormatting sqref="G39">
    <cfRule type="expression" dxfId="152" priority="230">
      <formula>AND($D39="x",G39="")</formula>
    </cfRule>
    <cfRule type="expression" dxfId="151" priority="231">
      <formula>AND($D39="x",G39="µ")</formula>
    </cfRule>
  </conditionalFormatting>
  <conditionalFormatting sqref="I39:N39">
    <cfRule type="expression" dxfId="150" priority="228">
      <formula>AND($D39="x",I39="")</formula>
    </cfRule>
    <cfRule type="expression" dxfId="149" priority="229">
      <formula>AND($D39="x",I39="µ")</formula>
    </cfRule>
  </conditionalFormatting>
  <conditionalFormatting sqref="H39">
    <cfRule type="expression" dxfId="148" priority="226">
      <formula>AND($D39="x",H39="")</formula>
    </cfRule>
    <cfRule type="expression" dxfId="147" priority="227">
      <formula>AND($D39="x",H39="µ")</formula>
    </cfRule>
  </conditionalFormatting>
  <conditionalFormatting sqref="G115:J115 L115:M115">
    <cfRule type="cellIs" dxfId="146" priority="219" operator="lessThan">
      <formula>0</formula>
    </cfRule>
  </conditionalFormatting>
  <conditionalFormatting sqref="G40">
    <cfRule type="expression" dxfId="145" priority="207">
      <formula>AND($D40="x",G40="")</formula>
    </cfRule>
    <cfRule type="expression" dxfId="144" priority="208">
      <formula>AND($D40="x",G40="µ")</formula>
    </cfRule>
  </conditionalFormatting>
  <conditionalFormatting sqref="I40:J40">
    <cfRule type="expression" dxfId="143" priority="205">
      <formula>AND($D40="x",I40="")</formula>
    </cfRule>
    <cfRule type="expression" dxfId="142" priority="206">
      <formula>AND($D40="x",I40="µ")</formula>
    </cfRule>
  </conditionalFormatting>
  <conditionalFormatting sqref="H40">
    <cfRule type="expression" dxfId="141" priority="203">
      <formula>AND($D40="x",H40="")</formula>
    </cfRule>
    <cfRule type="expression" dxfId="140" priority="204">
      <formula>AND($D40="x",H40="µ")</formula>
    </cfRule>
  </conditionalFormatting>
  <conditionalFormatting sqref="K40:N40">
    <cfRule type="expression" dxfId="139" priority="201">
      <formula>AND($D40="x",K40="")</formula>
    </cfRule>
    <cfRule type="expression" dxfId="138" priority="202">
      <formula>AND($D40="x",K40="µ")</formula>
    </cfRule>
  </conditionalFormatting>
  <conditionalFormatting sqref="G112:N113">
    <cfRule type="expression" dxfId="137" priority="191">
      <formula>AND($D112="x",G112="")</formula>
    </cfRule>
    <cfRule type="expression" dxfId="136" priority="192">
      <formula>AND($D112="x",G112="µ")</formula>
    </cfRule>
  </conditionalFormatting>
  <conditionalFormatting sqref="G111:N111">
    <cfRule type="expression" dxfId="135" priority="189">
      <formula>AND($D111="x",G111="")</formula>
    </cfRule>
    <cfRule type="expression" dxfId="134" priority="190">
      <formula>AND($D111="x",G111="µ")</formula>
    </cfRule>
  </conditionalFormatting>
  <conditionalFormatting sqref="AF128">
    <cfRule type="colorScale" priority="1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1:N91">
    <cfRule type="expression" dxfId="133" priority="176">
      <formula>AND($D91="x",H91="")</formula>
    </cfRule>
    <cfRule type="expression" dxfId="132" priority="177">
      <formula>AND($D91="x",H91="µ")</formula>
    </cfRule>
  </conditionalFormatting>
  <conditionalFormatting sqref="AF129">
    <cfRule type="colorScale" priority="1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1:N31">
    <cfRule type="expression" dxfId="131" priority="170">
      <formula>AND($D31="x",G31="")</formula>
    </cfRule>
    <cfRule type="expression" dxfId="130" priority="171">
      <formula>AND($D31="x",G31="µ")</formula>
    </cfRule>
  </conditionalFormatting>
  <conditionalFormatting sqref="G27:N27">
    <cfRule type="expression" dxfId="129" priority="168">
      <formula>AND($D27="x",G27="")</formula>
    </cfRule>
    <cfRule type="expression" dxfId="128" priority="169">
      <formula>AND($D27="x",G27="µ")</formula>
    </cfRule>
  </conditionalFormatting>
  <conditionalFormatting sqref="G38:N38">
    <cfRule type="expression" dxfId="127" priority="166">
      <formula>AND($D38="x",G38="")</formula>
    </cfRule>
    <cfRule type="expression" dxfId="126" priority="167">
      <formula>AND($D38="x",G38="µ")</formula>
    </cfRule>
  </conditionalFormatting>
  <conditionalFormatting sqref="G83:N83">
    <cfRule type="expression" dxfId="125" priority="164">
      <formula>AND($D83="x",G83="")</formula>
    </cfRule>
    <cfRule type="expression" dxfId="124" priority="165">
      <formula>AND($D83="x",G83="µ")</formula>
    </cfRule>
  </conditionalFormatting>
  <conditionalFormatting sqref="G84">
    <cfRule type="expression" dxfId="123" priority="162">
      <formula>AND($D84="x",G84="")</formula>
    </cfRule>
    <cfRule type="expression" dxfId="122" priority="163">
      <formula>AND($D84="x",G84="µ")</formula>
    </cfRule>
  </conditionalFormatting>
  <conditionalFormatting sqref="I84:N84">
    <cfRule type="expression" dxfId="121" priority="160">
      <formula>AND($D84="x",I84="")</formula>
    </cfRule>
    <cfRule type="expression" dxfId="120" priority="161">
      <formula>AND($D84="x",I84="µ")</formula>
    </cfRule>
  </conditionalFormatting>
  <conditionalFormatting sqref="H84">
    <cfRule type="expression" dxfId="119" priority="158">
      <formula>AND($D84="x",H84="")</formula>
    </cfRule>
    <cfRule type="expression" dxfId="118" priority="159">
      <formula>AND($D84="x",H84="µ")</formula>
    </cfRule>
  </conditionalFormatting>
  <conditionalFormatting sqref="G85">
    <cfRule type="expression" dxfId="117" priority="156">
      <formula>AND($D85="x",G85="")</formula>
    </cfRule>
    <cfRule type="expression" dxfId="116" priority="157">
      <formula>AND($D85="x",G85="µ")</formula>
    </cfRule>
  </conditionalFormatting>
  <conditionalFormatting sqref="I85:J85">
    <cfRule type="expression" dxfId="115" priority="154">
      <formula>AND($D85="x",I85="")</formula>
    </cfRule>
    <cfRule type="expression" dxfId="114" priority="155">
      <formula>AND($D85="x",I85="µ")</formula>
    </cfRule>
  </conditionalFormatting>
  <conditionalFormatting sqref="H85">
    <cfRule type="expression" dxfId="113" priority="152">
      <formula>AND($D85="x",H85="")</formula>
    </cfRule>
    <cfRule type="expression" dxfId="112" priority="153">
      <formula>AND($D85="x",H85="µ")</formula>
    </cfRule>
  </conditionalFormatting>
  <conditionalFormatting sqref="K85:N85">
    <cfRule type="expression" dxfId="111" priority="150">
      <formula>AND($D85="x",K85="")</formula>
    </cfRule>
    <cfRule type="expression" dxfId="110" priority="151">
      <formula>AND($D85="x",K85="µ")</formula>
    </cfRule>
  </conditionalFormatting>
  <conditionalFormatting sqref="AF103:AF123">
    <cfRule type="colorScale" priority="1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103:AG123"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103:AH123">
    <cfRule type="colorScale" priority="1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86">
    <cfRule type="expression" dxfId="109" priority="125">
      <formula>AND($D86="x",G86="")</formula>
    </cfRule>
    <cfRule type="expression" dxfId="108" priority="126">
      <formula>AND($D86="x",G86="µ")</formula>
    </cfRule>
  </conditionalFormatting>
  <conditionalFormatting sqref="I86:J86">
    <cfRule type="expression" dxfId="107" priority="123">
      <formula>AND($D86="x",I86="")</formula>
    </cfRule>
    <cfRule type="expression" dxfId="106" priority="124">
      <formula>AND($D86="x",I86="µ")</formula>
    </cfRule>
  </conditionalFormatting>
  <conditionalFormatting sqref="H86">
    <cfRule type="expression" dxfId="105" priority="121">
      <formula>AND($D86="x",H86="")</formula>
    </cfRule>
    <cfRule type="expression" dxfId="104" priority="122">
      <formula>AND($D86="x",H86="µ")</formula>
    </cfRule>
  </conditionalFormatting>
  <conditionalFormatting sqref="G32">
    <cfRule type="expression" dxfId="103" priority="115">
      <formula>AND($D32="x",G32="")</formula>
    </cfRule>
    <cfRule type="expression" dxfId="102" priority="116">
      <formula>AND($D32="x",G32="µ")</formula>
    </cfRule>
  </conditionalFormatting>
  <conditionalFormatting sqref="H32:N32">
    <cfRule type="expression" dxfId="101" priority="113">
      <formula>AND($D32="x",H32="")</formula>
    </cfRule>
    <cfRule type="expression" dxfId="100" priority="114">
      <formula>AND($D32="x",H32="µ")</formula>
    </cfRule>
  </conditionalFormatting>
  <conditionalFormatting sqref="G90">
    <cfRule type="expression" dxfId="99" priority="111">
      <formula>AND($D90="x",G90="")</formula>
    </cfRule>
    <cfRule type="expression" dxfId="98" priority="112">
      <formula>AND($D90="x",G90="µ")</formula>
    </cfRule>
  </conditionalFormatting>
  <conditionalFormatting sqref="G91">
    <cfRule type="expression" dxfId="97" priority="109">
      <formula>AND($D91="x",G91="")</formula>
    </cfRule>
    <cfRule type="expression" dxfId="96" priority="110">
      <formula>AND($D91="x",G91="µ")</formula>
    </cfRule>
  </conditionalFormatting>
  <conditionalFormatting sqref="G41">
    <cfRule type="expression" dxfId="95" priority="107">
      <formula>AND($D41="x",G41="")</formula>
    </cfRule>
    <cfRule type="expression" dxfId="94" priority="108">
      <formula>AND($D41="x",G41="µ")</formula>
    </cfRule>
  </conditionalFormatting>
  <conditionalFormatting sqref="I41:J41">
    <cfRule type="expression" dxfId="93" priority="105">
      <formula>AND($D41="x",I41="")</formula>
    </cfRule>
    <cfRule type="expression" dxfId="92" priority="106">
      <formula>AND($D41="x",I41="µ")</formula>
    </cfRule>
  </conditionalFormatting>
  <conditionalFormatting sqref="H41">
    <cfRule type="expression" dxfId="91" priority="103">
      <formula>AND($D41="x",H41="")</formula>
    </cfRule>
    <cfRule type="expression" dxfId="90" priority="104">
      <formula>AND($D41="x",H41="µ")</formula>
    </cfRule>
  </conditionalFormatting>
  <conditionalFormatting sqref="K41:N41">
    <cfRule type="expression" dxfId="89" priority="101">
      <formula>AND($D41="x",K41="")</formula>
    </cfRule>
    <cfRule type="expression" dxfId="88" priority="102">
      <formula>AND($D41="x",K41="µ")</formula>
    </cfRule>
  </conditionalFormatting>
  <conditionalFormatting sqref="K44:N44">
    <cfRule type="expression" dxfId="87" priority="97">
      <formula>AND($D44="x",K44="")</formula>
    </cfRule>
    <cfRule type="expression" dxfId="86" priority="98">
      <formula>AND($D44="x",K44="µ")</formula>
    </cfRule>
  </conditionalFormatting>
  <conditionalFormatting sqref="K86:N86">
    <cfRule type="expression" dxfId="85" priority="95">
      <formula>AND($D86="x",K86="")</formula>
    </cfRule>
    <cfRule type="expression" dxfId="84" priority="96">
      <formula>AND($D86="x",K86="µ")</formula>
    </cfRule>
  </conditionalFormatting>
  <conditionalFormatting sqref="H94:N94">
    <cfRule type="expression" dxfId="83" priority="93">
      <formula>AND($D94="x",H94="")</formula>
    </cfRule>
    <cfRule type="expression" dxfId="82" priority="94">
      <formula>AND($D94="x",H94="µ")</formula>
    </cfRule>
  </conditionalFormatting>
  <conditionalFormatting sqref="G94">
    <cfRule type="expression" dxfId="81" priority="91">
      <formula>AND($D94="x",G94="")</formula>
    </cfRule>
    <cfRule type="expression" dxfId="80" priority="92">
      <formula>AND($D94="x",G94="µ")</formula>
    </cfRule>
  </conditionalFormatting>
  <conditionalFormatting sqref="G33">
    <cfRule type="expression" dxfId="79" priority="85">
      <formula>AND($D33="x",G33="")</formula>
    </cfRule>
    <cfRule type="expression" dxfId="78" priority="86">
      <formula>AND($D33="x",G33="µ")</formula>
    </cfRule>
  </conditionalFormatting>
  <conditionalFormatting sqref="H33:N33">
    <cfRule type="expression" dxfId="77" priority="83">
      <formula>AND($D33="x",H33="")</formula>
    </cfRule>
    <cfRule type="expression" dxfId="76" priority="84">
      <formula>AND($D33="x",H33="µ")</formula>
    </cfRule>
  </conditionalFormatting>
  <conditionalFormatting sqref="G45:J45">
    <cfRule type="expression" dxfId="75" priority="81">
      <formula>AND($D45="x",G45="")</formula>
    </cfRule>
    <cfRule type="expression" dxfId="74" priority="82">
      <formula>AND($D45="x",G45="µ")</formula>
    </cfRule>
  </conditionalFormatting>
  <conditionalFormatting sqref="K45:N45">
    <cfRule type="expression" dxfId="73" priority="79">
      <formula>AND($D45="x",K45="")</formula>
    </cfRule>
    <cfRule type="expression" dxfId="72" priority="80">
      <formula>AND($D45="x",K45="µ")</formula>
    </cfRule>
  </conditionalFormatting>
  <conditionalFormatting sqref="G89">
    <cfRule type="expression" dxfId="71" priority="77">
      <formula>AND($D89="x",G89="")</formula>
    </cfRule>
    <cfRule type="expression" dxfId="70" priority="78">
      <formula>AND($D89="x",G89="µ")</formula>
    </cfRule>
  </conditionalFormatting>
  <conditionalFormatting sqref="I89:J89">
    <cfRule type="expression" dxfId="69" priority="75">
      <formula>AND($D89="x",I89="")</formula>
    </cfRule>
    <cfRule type="expression" dxfId="68" priority="76">
      <formula>AND($D89="x",I89="µ")</formula>
    </cfRule>
  </conditionalFormatting>
  <conditionalFormatting sqref="H89">
    <cfRule type="expression" dxfId="67" priority="73">
      <formula>AND($D89="x",H89="")</formula>
    </cfRule>
    <cfRule type="expression" dxfId="66" priority="74">
      <formula>AND($D89="x",H89="µ")</formula>
    </cfRule>
  </conditionalFormatting>
  <conditionalFormatting sqref="K89:N89">
    <cfRule type="expression" dxfId="65" priority="71">
      <formula>AND($D89="x",K89="")</formula>
    </cfRule>
    <cfRule type="expression" dxfId="64" priority="72">
      <formula>AND($D89="x",K89="µ")</formula>
    </cfRule>
  </conditionalFormatting>
  <conditionalFormatting sqref="G25:N25">
    <cfRule type="expression" dxfId="63" priority="69">
      <formula>AND($D25="x",G25="")</formula>
    </cfRule>
    <cfRule type="expression" dxfId="62" priority="70">
      <formula>AND($D25="x",G25="µ")</formula>
    </cfRule>
  </conditionalFormatting>
  <conditionalFormatting sqref="H95:N95">
    <cfRule type="expression" dxfId="61" priority="63">
      <formula>AND($D95="x",H95="")</formula>
    </cfRule>
    <cfRule type="expression" dxfId="60" priority="64">
      <formula>AND($D95="x",H95="µ")</formula>
    </cfRule>
  </conditionalFormatting>
  <conditionalFormatting sqref="G95">
    <cfRule type="expression" dxfId="59" priority="61">
      <formula>AND($D95="x",G95="")</formula>
    </cfRule>
    <cfRule type="expression" dxfId="58" priority="62">
      <formula>AND($D95="x",G95="µ")</formula>
    </cfRule>
  </conditionalFormatting>
  <conditionalFormatting sqref="G42">
    <cfRule type="expression" dxfId="57" priority="59">
      <formula>AND($D42="x",G42="")</formula>
    </cfRule>
    <cfRule type="expression" dxfId="56" priority="60">
      <formula>AND($D42="x",G42="µ")</formula>
    </cfRule>
  </conditionalFormatting>
  <conditionalFormatting sqref="I42:J42">
    <cfRule type="expression" dxfId="55" priority="57">
      <formula>AND($D42="x",I42="")</formula>
    </cfRule>
    <cfRule type="expression" dxfId="54" priority="58">
      <formula>AND($D42="x",I42="µ")</formula>
    </cfRule>
  </conditionalFormatting>
  <conditionalFormatting sqref="H42">
    <cfRule type="expression" dxfId="53" priority="55">
      <formula>AND($D42="x",H42="")</formula>
    </cfRule>
    <cfRule type="expression" dxfId="52" priority="56">
      <formula>AND($D42="x",H42="µ")</formula>
    </cfRule>
  </conditionalFormatting>
  <conditionalFormatting sqref="K42:N42">
    <cfRule type="expression" dxfId="51" priority="53">
      <formula>AND($D42="x",K42="")</formula>
    </cfRule>
    <cfRule type="expression" dxfId="50" priority="54">
      <formula>AND($D42="x",K42="µ")</formula>
    </cfRule>
  </conditionalFormatting>
  <conditionalFormatting sqref="G43">
    <cfRule type="expression" dxfId="49" priority="51">
      <formula>AND($D43="x",G43="")</formula>
    </cfRule>
    <cfRule type="expression" dxfId="48" priority="52">
      <formula>AND($D43="x",G43="µ")</formula>
    </cfRule>
  </conditionalFormatting>
  <conditionalFormatting sqref="I43:J43">
    <cfRule type="expression" dxfId="47" priority="49">
      <formula>AND($D43="x",I43="")</formula>
    </cfRule>
    <cfRule type="expression" dxfId="46" priority="50">
      <formula>AND($D43="x",I43="µ")</formula>
    </cfRule>
  </conditionalFormatting>
  <conditionalFormatting sqref="H43">
    <cfRule type="expression" dxfId="45" priority="47">
      <formula>AND($D43="x",H43="")</formula>
    </cfRule>
    <cfRule type="expression" dxfId="44" priority="48">
      <formula>AND($D43="x",H43="µ")</formula>
    </cfRule>
  </conditionalFormatting>
  <conditionalFormatting sqref="K43:N43">
    <cfRule type="expression" dxfId="43" priority="45">
      <formula>AND($D43="x",K43="")</formula>
    </cfRule>
    <cfRule type="expression" dxfId="42" priority="46">
      <formula>AND($D43="x",K43="µ")</formula>
    </cfRule>
  </conditionalFormatting>
  <conditionalFormatting sqref="G87">
    <cfRule type="expression" dxfId="41" priority="43">
      <formula>AND($D87="x",G87="")</formula>
    </cfRule>
    <cfRule type="expression" dxfId="40" priority="44">
      <formula>AND($D87="x",G87="µ")</formula>
    </cfRule>
  </conditionalFormatting>
  <conditionalFormatting sqref="I87:J87">
    <cfRule type="expression" dxfId="39" priority="41">
      <formula>AND($D87="x",I87="")</formula>
    </cfRule>
    <cfRule type="expression" dxfId="38" priority="42">
      <formula>AND($D87="x",I87="µ")</formula>
    </cfRule>
  </conditionalFormatting>
  <conditionalFormatting sqref="H87">
    <cfRule type="expression" dxfId="37" priority="39">
      <formula>AND($D87="x",H87="")</formula>
    </cfRule>
    <cfRule type="expression" dxfId="36" priority="40">
      <formula>AND($D87="x",H87="µ")</formula>
    </cfRule>
  </conditionalFormatting>
  <conditionalFormatting sqref="K87:N87">
    <cfRule type="expression" dxfId="35" priority="37">
      <formula>AND($D87="x",K87="")</formula>
    </cfRule>
    <cfRule type="expression" dxfId="34" priority="38">
      <formula>AND($D87="x",K87="µ")</formula>
    </cfRule>
  </conditionalFormatting>
  <conditionalFormatting sqref="G88">
    <cfRule type="expression" dxfId="33" priority="35">
      <formula>AND($D88="x",G88="")</formula>
    </cfRule>
    <cfRule type="expression" dxfId="32" priority="36">
      <formula>AND($D88="x",G88="µ")</formula>
    </cfRule>
  </conditionalFormatting>
  <conditionalFormatting sqref="I88:J88">
    <cfRule type="expression" dxfId="31" priority="33">
      <formula>AND($D88="x",I88="")</formula>
    </cfRule>
    <cfRule type="expression" dxfId="30" priority="34">
      <formula>AND($D88="x",I88="µ")</formula>
    </cfRule>
  </conditionalFormatting>
  <conditionalFormatting sqref="H88">
    <cfRule type="expression" dxfId="29" priority="31">
      <formula>AND($D88="x",H88="")</formula>
    </cfRule>
    <cfRule type="expression" dxfId="28" priority="32">
      <formula>AND($D88="x",H88="µ")</formula>
    </cfRule>
  </conditionalFormatting>
  <conditionalFormatting sqref="K88:N88">
    <cfRule type="expression" dxfId="27" priority="29">
      <formula>AND($D88="x",K88="")</formula>
    </cfRule>
    <cfRule type="expression" dxfId="26" priority="30">
      <formula>AND($D88="x",K88="µ")</formula>
    </cfRule>
  </conditionalFormatting>
  <conditionalFormatting sqref="H93:N93">
    <cfRule type="expression" dxfId="25" priority="27">
      <formula>AND($D93="x",H93="")</formula>
    </cfRule>
    <cfRule type="expression" dxfId="24" priority="28">
      <formula>AND($D93="x",H93="µ")</formula>
    </cfRule>
  </conditionalFormatting>
  <conditionalFormatting sqref="G93">
    <cfRule type="expression" dxfId="23" priority="25">
      <formula>AND($D93="x",G93="")</formula>
    </cfRule>
    <cfRule type="expression" dxfId="22" priority="26">
      <formula>AND($D93="x",G93="µ")</formula>
    </cfRule>
  </conditionalFormatting>
  <conditionalFormatting sqref="G36">
    <cfRule type="expression" dxfId="21" priority="23">
      <formula>AND($D36="x",G36="")</formula>
    </cfRule>
    <cfRule type="expression" dxfId="20" priority="24">
      <formula>AND($D36="x",G36="µ")</formula>
    </cfRule>
  </conditionalFormatting>
  <conditionalFormatting sqref="I36:N36">
    <cfRule type="expression" dxfId="19" priority="21">
      <formula>AND($D36="x",I36="")</formula>
    </cfRule>
    <cfRule type="expression" dxfId="18" priority="22">
      <formula>AND($D36="x",I36="µ")</formula>
    </cfRule>
  </conditionalFormatting>
  <conditionalFormatting sqref="H36">
    <cfRule type="expression" dxfId="17" priority="19">
      <formula>AND($D36="x",H36="")</formula>
    </cfRule>
    <cfRule type="expression" dxfId="16" priority="20">
      <formula>AND($D36="x",H36="µ")</formula>
    </cfRule>
  </conditionalFormatting>
  <conditionalFormatting sqref="G26:N26">
    <cfRule type="expression" dxfId="15" priority="17">
      <formula>AND($D26="x",G26="")</formula>
    </cfRule>
    <cfRule type="expression" dxfId="14" priority="18">
      <formula>AND($D26="x",G26="µ")</formula>
    </cfRule>
  </conditionalFormatting>
  <conditionalFormatting sqref="G78:N78">
    <cfRule type="expression" dxfId="13" priority="13">
      <formula>AND($D78="x",G78="")</formula>
    </cfRule>
    <cfRule type="expression" dxfId="12" priority="14">
      <formula>AND($D78="x",G78="µ")</formula>
    </cfRule>
  </conditionalFormatting>
  <conditionalFormatting sqref="H92:N92">
    <cfRule type="expression" dxfId="11" priority="11">
      <formula>AND($D92="x",H92="")</formula>
    </cfRule>
    <cfRule type="expression" dxfId="10" priority="12">
      <formula>AND($D92="x",H92="µ")</formula>
    </cfRule>
  </conditionalFormatting>
  <conditionalFormatting sqref="G92">
    <cfRule type="expression" dxfId="9" priority="9">
      <formula>AND($D92="x",G92="")</formula>
    </cfRule>
    <cfRule type="expression" dxfId="8" priority="10">
      <formula>AND($D92="x",G92="µ")</formula>
    </cfRule>
  </conditionalFormatting>
  <conditionalFormatting sqref="G37">
    <cfRule type="expression" dxfId="7" priority="7">
      <formula>AND($D37="x",G37="")</formula>
    </cfRule>
    <cfRule type="expression" dxfId="6" priority="8">
      <formula>AND($D37="x",G37="µ")</formula>
    </cfRule>
  </conditionalFormatting>
  <conditionalFormatting sqref="I37:N37">
    <cfRule type="expression" dxfId="5" priority="5">
      <formula>AND($D37="x",I37="")</formula>
    </cfRule>
    <cfRule type="expression" dxfId="4" priority="6">
      <formula>AND($D37="x",I37="µ")</formula>
    </cfRule>
  </conditionalFormatting>
  <conditionalFormatting sqref="H37">
    <cfRule type="expression" dxfId="3" priority="3">
      <formula>AND($D37="x",H37="")</formula>
    </cfRule>
    <cfRule type="expression" dxfId="2" priority="4">
      <formula>AND($D37="x",H37="µ")</formula>
    </cfRule>
  </conditionalFormatting>
  <conditionalFormatting sqref="G19:N19">
    <cfRule type="expression" dxfId="1" priority="1">
      <formula>AND($D19="x",G19="")</formula>
    </cfRule>
    <cfRule type="expression" dxfId="0" priority="2">
      <formula>AND($D19="x",G19="µ")</formula>
    </cfRule>
  </conditionalFormatting>
  <dataValidations count="1">
    <dataValidation type="list" allowBlank="1" showInputMessage="1" showErrorMessage="1" sqref="D72:D101 D11:D69" xr:uid="{D30EEA0A-86A0-48D5-A10D-3ABC9F2C4A3A}">
      <formula1>$D$162:$D$163</formula1>
    </dataValidation>
  </dataValidations>
  <hyperlinks>
    <hyperlink ref="O1" r:id="rId1" xr:uid="{F6FD11AA-304E-4AFD-B624-56EDA608C84C}"/>
    <hyperlink ref="H3" r:id="rId2" xr:uid="{4AC43AFE-E73F-4809-B963-468D35C48E45}"/>
  </hyperlinks>
  <pageMargins left="0.15748031496062992" right="7.874015748031496E-2" top="0.64" bottom="0.3" header="0.31496062992125984" footer="0.09"/>
  <pageSetup paperSize="9" scale="45" fitToHeight="0" orientation="landscape" horizontalDpi="4294967293" r:id="rId3"/>
  <rowBreaks count="2" manualBreakCount="2">
    <brk id="58" min="3" max="16" man="1"/>
    <brk id="107" min="3" max="16" man="1"/>
  </rowBreaks>
  <drawing r:id="rId4"/>
  <legacyDrawing r:id="rId5"/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66489-48CB-4CB3-A14C-D94BAC65D341}">
  <dimension ref="B1:AN32"/>
  <sheetViews>
    <sheetView workbookViewId="0">
      <selection activeCell="AJ9" sqref="AJ9"/>
    </sheetView>
  </sheetViews>
  <sheetFormatPr baseColWidth="10" defaultRowHeight="15" x14ac:dyDescent="0.25"/>
  <cols>
    <col min="3" max="3" width="14.7109375" style="238" customWidth="1"/>
    <col min="4" max="4" width="19.5703125" style="238" customWidth="1"/>
    <col min="5" max="5" width="13.140625" style="239" customWidth="1"/>
    <col min="6" max="6" width="18" style="239" customWidth="1"/>
    <col min="7" max="7" width="15.140625" style="239" customWidth="1"/>
    <col min="8" max="12" width="20" style="239" customWidth="1"/>
    <col min="13" max="20" width="11.42578125" style="258"/>
    <col min="30" max="30" width="11.42578125" style="240"/>
    <col min="31" max="31" width="11.42578125" style="241"/>
    <col min="32" max="32" width="11.42578125" style="240"/>
    <col min="33" max="33" width="11.42578125" style="241"/>
    <col min="34" max="34" width="11.42578125" style="254"/>
    <col min="35" max="35" width="11.42578125" style="259"/>
    <col min="36" max="36" width="11.42578125" style="240"/>
    <col min="37" max="37" width="11.42578125" style="241"/>
    <col min="38" max="38" width="5.28515625" bestFit="1" customWidth="1"/>
    <col min="39" max="40" width="4.5703125" bestFit="1" customWidth="1"/>
  </cols>
  <sheetData>
    <row r="1" spans="2:40" x14ac:dyDescent="0.25">
      <c r="C1" s="238" t="s">
        <v>175</v>
      </c>
      <c r="D1" s="238" t="s">
        <v>175</v>
      </c>
      <c r="E1" s="239" t="s">
        <v>176</v>
      </c>
      <c r="F1" s="239" t="s">
        <v>176</v>
      </c>
      <c r="G1" s="239" t="s">
        <v>176</v>
      </c>
      <c r="H1" s="239" t="s">
        <v>176</v>
      </c>
      <c r="I1" s="239" t="s">
        <v>176</v>
      </c>
      <c r="J1" s="239" t="s">
        <v>176</v>
      </c>
      <c r="K1" s="239" t="s">
        <v>176</v>
      </c>
      <c r="L1" s="239" t="s">
        <v>176</v>
      </c>
      <c r="M1" s="238" t="s">
        <v>175</v>
      </c>
      <c r="N1" s="238" t="s">
        <v>175</v>
      </c>
      <c r="O1" s="238" t="s">
        <v>175</v>
      </c>
      <c r="P1" s="238" t="s">
        <v>175</v>
      </c>
      <c r="Q1" s="238" t="s">
        <v>175</v>
      </c>
      <c r="R1" s="238" t="s">
        <v>175</v>
      </c>
      <c r="S1" s="238" t="s">
        <v>175</v>
      </c>
      <c r="T1" s="238" t="s">
        <v>175</v>
      </c>
    </row>
    <row r="2" spans="2:40" x14ac:dyDescent="0.25">
      <c r="B2" t="s">
        <v>151</v>
      </c>
      <c r="C2" s="238" t="s">
        <v>178</v>
      </c>
      <c r="D2" s="238" t="s">
        <v>179</v>
      </c>
      <c r="E2" s="239" t="s">
        <v>180</v>
      </c>
      <c r="F2" s="239" t="s">
        <v>181</v>
      </c>
      <c r="G2" s="239" t="s">
        <v>182</v>
      </c>
      <c r="H2" s="239" t="s">
        <v>183</v>
      </c>
      <c r="I2" s="239" t="s">
        <v>184</v>
      </c>
      <c r="J2" s="239" t="s">
        <v>185</v>
      </c>
      <c r="K2" s="239" t="s">
        <v>208</v>
      </c>
      <c r="L2" s="239" t="s">
        <v>209</v>
      </c>
      <c r="M2" s="238" t="s">
        <v>186</v>
      </c>
      <c r="N2" s="238" t="s">
        <v>187</v>
      </c>
      <c r="O2" s="238" t="s">
        <v>188</v>
      </c>
      <c r="P2" s="238" t="s">
        <v>189</v>
      </c>
      <c r="Q2" s="238" t="s">
        <v>190</v>
      </c>
      <c r="R2" s="238" t="s">
        <v>191</v>
      </c>
      <c r="S2" s="238" t="s">
        <v>206</v>
      </c>
      <c r="T2" s="238" t="s">
        <v>207</v>
      </c>
      <c r="U2" s="242" t="s">
        <v>192</v>
      </c>
      <c r="V2" s="242" t="s">
        <v>193</v>
      </c>
      <c r="W2" s="242" t="s">
        <v>194</v>
      </c>
      <c r="X2" s="242" t="s">
        <v>195</v>
      </c>
      <c r="Y2" s="242" t="s">
        <v>196</v>
      </c>
      <c r="Z2" s="242" t="s">
        <v>197</v>
      </c>
      <c r="AA2" s="242" t="s">
        <v>198</v>
      </c>
      <c r="AB2" s="242" t="s">
        <v>199</v>
      </c>
      <c r="AD2"/>
      <c r="AE2"/>
      <c r="AF2"/>
      <c r="AG2"/>
      <c r="AH2"/>
      <c r="AI2"/>
      <c r="AJ2"/>
      <c r="AK2"/>
    </row>
    <row r="3" spans="2:40" x14ac:dyDescent="0.25">
      <c r="B3">
        <v>0</v>
      </c>
      <c r="C3" s="238">
        <v>0</v>
      </c>
      <c r="D3" s="238">
        <v>0</v>
      </c>
      <c r="E3" s="239">
        <v>0</v>
      </c>
      <c r="F3" s="239">
        <v>0</v>
      </c>
      <c r="G3" s="239">
        <v>0</v>
      </c>
      <c r="H3" s="239">
        <v>0</v>
      </c>
      <c r="I3" s="239">
        <v>0</v>
      </c>
      <c r="J3" s="239">
        <v>0</v>
      </c>
      <c r="K3" s="239">
        <v>0</v>
      </c>
      <c r="L3" s="239">
        <v>0</v>
      </c>
      <c r="M3" s="238">
        <v>0</v>
      </c>
      <c r="N3" s="238">
        <v>0</v>
      </c>
      <c r="O3" s="238">
        <v>0</v>
      </c>
      <c r="P3" s="238">
        <v>0</v>
      </c>
      <c r="Q3" s="238">
        <v>0</v>
      </c>
      <c r="R3" s="238">
        <v>0</v>
      </c>
      <c r="S3" s="238">
        <f>'DSK - Fasar'!AA128</f>
        <v>0</v>
      </c>
      <c r="T3" s="238">
        <f>'DSK - Fasar'!AG128</f>
        <v>0</v>
      </c>
      <c r="U3" s="244">
        <f>Tabelle3[[#This Row],[Aventuria (€)]]/C$24</f>
        <v>0</v>
      </c>
      <c r="V3" s="244">
        <f>Tabelle3[[#This Row],[Aventuria (Backer)]]/D$24</f>
        <v>0</v>
      </c>
      <c r="W3" s="244">
        <f>Tabelle3[[#This Row],[Thorwal (€)]]/M$24</f>
        <v>0</v>
      </c>
      <c r="X3" s="244">
        <f>Tabelle3[[#This Row],[Thorwal (Backer)]]/N$24</f>
        <v>0</v>
      </c>
      <c r="Y3" s="244">
        <f>Tabelle3[[#This Row],[Werkzeuge (€)]]/O$24</f>
        <v>0</v>
      </c>
      <c r="Z3" s="244">
        <f>Tabelle3[[#This Row],[Werkzeuge (Backer)]]/P$24</f>
        <v>0</v>
      </c>
      <c r="AA3" s="244">
        <f>Tabelle3[[#This Row],[Mythos (€)]]/Q$24</f>
        <v>0</v>
      </c>
      <c r="AB3" s="244">
        <f>Tabelle3[[#This Row],[Mythos (Backer)]]/R$24</f>
        <v>0</v>
      </c>
      <c r="AD3"/>
      <c r="AE3"/>
      <c r="AF3"/>
      <c r="AG3"/>
      <c r="AH3"/>
      <c r="AI3"/>
      <c r="AJ3"/>
      <c r="AK3"/>
    </row>
    <row r="4" spans="2:40" x14ac:dyDescent="0.25">
      <c r="B4">
        <v>1</v>
      </c>
      <c r="C4" s="238">
        <v>14771</v>
      </c>
      <c r="D4" s="238">
        <v>73</v>
      </c>
      <c r="E4" s="239">
        <f>Tabelle3[[#This Row],[Thorwal (€)]]/M24*E24</f>
        <v>15220.890095815445</v>
      </c>
      <c r="F4" s="239">
        <f>Tabelle3[[#This Row],[Thorwal (Backer)]]/N24*F24</f>
        <v>110.36895674300254</v>
      </c>
      <c r="G4" s="239">
        <f>Tabelle3[[#This Row],[Werkzeuge (€)]]/$O$24*$G$24</f>
        <v>15879.347283058034</v>
      </c>
      <c r="H4" s="239">
        <f>Tabelle3[[#This Row],[Werkzeuge (Backer)]]/$P$24*$H$24</f>
        <v>82.160052910052912</v>
      </c>
      <c r="I4" s="246">
        <f>Tabelle3[[#This Row],[Mythos (€)]]/$Q$24*$I$24</f>
        <v>8008.0810450070085</v>
      </c>
      <c r="J4" s="246">
        <f>Tabelle3[[#This Row],[Mythos (Backer)]]/$R$24*$J$24</f>
        <v>48.804500703234879</v>
      </c>
      <c r="K4" s="239">
        <f>Tabelle3[[#This Row],[DSK (€)]]/$S$24*$I$24</f>
        <v>18400.067212038171</v>
      </c>
      <c r="L4" s="239">
        <f>Tabelle3[[#This Row],[DSK (Backer)]]/$T$24*$L$24</f>
        <v>103.46330275229357</v>
      </c>
      <c r="M4" s="238">
        <v>65000</v>
      </c>
      <c r="N4" s="238">
        <v>500</v>
      </c>
      <c r="O4" s="238">
        <v>43437</v>
      </c>
      <c r="P4" s="238">
        <v>179</v>
      </c>
      <c r="Q4" s="245">
        <f>Q3+($Q$6-$Q$3)/3</f>
        <v>15333.333333333334</v>
      </c>
      <c r="R4" s="245">
        <f>R3+($R$6-$R$3)/3</f>
        <v>100</v>
      </c>
      <c r="S4" s="238">
        <f>'DSK - Fasar'!AA130</f>
        <v>36402</v>
      </c>
      <c r="T4" s="238">
        <f>'DSK - Fasar'!AG130</f>
        <v>195</v>
      </c>
      <c r="U4" s="244">
        <f>Tabelle3[[#This Row],[Aventuria (€)]]/C$24</f>
        <v>0.23692357045472773</v>
      </c>
      <c r="V4" s="244">
        <f>Tabelle3[[#This Row],[Aventuria (Backer)]]/D$24</f>
        <v>0.21037463976945245</v>
      </c>
      <c r="W4" s="244">
        <f>Tabelle3[[#This Row],[Thorwal (€)]]/M$24</f>
        <v>0.24413970800890922</v>
      </c>
      <c r="X4" s="244">
        <f>Tabelle3[[#This Row],[Thorwal (Backer)]]/N$24</f>
        <v>0.31806615776081426</v>
      </c>
      <c r="Y4" s="244">
        <f>Tabelle3[[#This Row],[Werkzeuge (€)]]/O$24</f>
        <v>0.25470121554347636</v>
      </c>
      <c r="Z4" s="244">
        <f>Tabelle3[[#This Row],[Werkzeuge (Backer)]]/P$24</f>
        <v>0.23677248677248677</v>
      </c>
      <c r="AA4" s="244"/>
      <c r="AB4" s="244"/>
      <c r="AD4"/>
      <c r="AE4"/>
      <c r="AF4"/>
      <c r="AG4"/>
      <c r="AH4"/>
      <c r="AI4"/>
      <c r="AJ4"/>
      <c r="AK4"/>
    </row>
    <row r="5" spans="2:40" x14ac:dyDescent="0.25">
      <c r="B5">
        <v>2</v>
      </c>
      <c r="C5" s="238">
        <v>16764</v>
      </c>
      <c r="D5" s="238">
        <v>82</v>
      </c>
      <c r="E5" s="246">
        <f t="shared" ref="E5:E13" si="0">E4+($E$14-$E$4)/10</f>
        <v>16625.895335429177</v>
      </c>
      <c r="F5" s="246">
        <f>F4+($F$14-$F$4)/10</f>
        <v>119.19847328244275</v>
      </c>
      <c r="G5" s="239">
        <f>Tabelle3[[#This Row],[Werkzeuge (€)]]/$O$24*$G$24</f>
        <v>18103.852387402443</v>
      </c>
      <c r="H5" s="239">
        <f>Tabelle3[[#This Row],[Werkzeuge (Backer)]]/$P$24*$H$24</f>
        <v>94.55291005291005</v>
      </c>
      <c r="I5" s="246">
        <f>Tabelle3[[#This Row],[Mythos (€)]]/$Q$24*$I$24</f>
        <v>16016.162090014017</v>
      </c>
      <c r="J5" s="246">
        <f>Tabelle3[[#This Row],[Mythos (Backer)]]/$R$24*$J$24</f>
        <v>97.609001406469758</v>
      </c>
      <c r="K5" s="239">
        <f>Tabelle3[[#This Row],[DSK (€)]]/$S$24*$I$24</f>
        <v>21562.784110717443</v>
      </c>
      <c r="L5" s="239">
        <f>Tabelle3[[#This Row],[DSK (Backer)]]/$T$24*$L$24</f>
        <v>123.62538226299695</v>
      </c>
      <c r="M5" s="245">
        <f>M4+($M$14-$M$4)/10</f>
        <v>71000</v>
      </c>
      <c r="N5" s="245">
        <f>N4+($N$14-$N$4)/10</f>
        <v>540</v>
      </c>
      <c r="O5" s="238">
        <v>49522</v>
      </c>
      <c r="P5" s="238">
        <v>206</v>
      </c>
      <c r="Q5" s="245">
        <f>Q4+($Q$6-$Q$3)/3</f>
        <v>30666.666666666668</v>
      </c>
      <c r="R5" s="245">
        <f>R4+($R$6-$R$3)/3</f>
        <v>200</v>
      </c>
      <c r="S5" s="238">
        <f>'DSK - Fasar'!AA131</f>
        <v>42659</v>
      </c>
      <c r="T5" s="238">
        <f>'DSK - Fasar'!AG131</f>
        <v>233</v>
      </c>
      <c r="U5" s="244">
        <f>Tabelle3[[#This Row],[Aventuria (€)]]/C$24</f>
        <v>0.2688908493062796</v>
      </c>
      <c r="V5" s="244">
        <f>Tabelle3[[#This Row],[Aventuria (Backer)]]/D$24</f>
        <v>0.23631123919308358</v>
      </c>
      <c r="W5" s="244"/>
      <c r="X5" s="244"/>
      <c r="Y5" s="244">
        <f>Tabelle3[[#This Row],[Werkzeuge (€)]]/O$24</f>
        <v>0.29038178502530182</v>
      </c>
      <c r="Z5" s="244">
        <f>Tabelle3[[#This Row],[Werkzeuge (Backer)]]/P$24</f>
        <v>0.2724867724867725</v>
      </c>
      <c r="AA5" s="244"/>
      <c r="AB5" s="244"/>
      <c r="AD5"/>
      <c r="AE5"/>
      <c r="AF5"/>
      <c r="AG5"/>
      <c r="AH5"/>
      <c r="AI5"/>
      <c r="AJ5"/>
      <c r="AK5"/>
    </row>
    <row r="6" spans="2:40" ht="15.75" thickBot="1" x14ac:dyDescent="0.3">
      <c r="B6">
        <v>3</v>
      </c>
      <c r="C6" s="238">
        <v>17674</v>
      </c>
      <c r="D6" s="238">
        <v>90</v>
      </c>
      <c r="E6" s="246">
        <f t="shared" si="0"/>
        <v>18030.90057504291</v>
      </c>
      <c r="F6" s="246">
        <f t="shared" ref="F6:F13" si="1">F5+($F$14-$F$4)/10</f>
        <v>128.02798982188295</v>
      </c>
      <c r="G6" s="239">
        <f>Tabelle3[[#This Row],[Werkzeuge (€)]]/$O$24*$G$24</f>
        <v>19704.691804316852</v>
      </c>
      <c r="H6" s="239">
        <f>Tabelle3[[#This Row],[Werkzeuge (Backer)]]/$P$24*$H$24</f>
        <v>102.81481481481481</v>
      </c>
      <c r="I6" s="239">
        <f>Tabelle3[[#This Row],[Mythos (€)]]/$Q$24*$I$24</f>
        <v>24024.243135021028</v>
      </c>
      <c r="J6" s="239">
        <f>Tabelle3[[#This Row],[Mythos (Backer)]]/$R$24*$J$24</f>
        <v>146.41350210970464</v>
      </c>
      <c r="K6" s="239">
        <f>Tabelle3[[#This Row],[DSK (€)]]/$S$24*$I$24</f>
        <v>22884.078976171753</v>
      </c>
      <c r="L6" s="239">
        <f>Tabelle3[[#This Row],[DSK (Backer)]]/$T$24*$L$24</f>
        <v>131.58409785932722</v>
      </c>
      <c r="M6" s="245">
        <f t="shared" ref="M6:M13" si="2">M5+($M$14-$M$4)/10</f>
        <v>77000</v>
      </c>
      <c r="N6" s="245">
        <f t="shared" ref="N6:N13" si="3">N5+($N$14-$N$4)/10</f>
        <v>580</v>
      </c>
      <c r="O6" s="238">
        <v>53901</v>
      </c>
      <c r="P6" s="238">
        <v>224</v>
      </c>
      <c r="Q6" s="238">
        <v>46000</v>
      </c>
      <c r="R6" s="238">
        <v>300</v>
      </c>
      <c r="S6" s="238">
        <f>'DSK - Fasar'!AA132</f>
        <v>45273</v>
      </c>
      <c r="T6" s="238">
        <f>'DSK - Fasar'!AG132</f>
        <v>248</v>
      </c>
      <c r="U6" s="244">
        <f>Tabelle3[[#This Row],[Aventuria (€)]]/C$24</f>
        <v>0.2834870478787393</v>
      </c>
      <c r="V6" s="244">
        <f>Tabelle3[[#This Row],[Aventuria (Backer)]]/D$24</f>
        <v>0.25936599423631124</v>
      </c>
      <c r="W6" s="244"/>
      <c r="X6" s="244"/>
      <c r="Y6" s="244">
        <f>Tabelle3[[#This Row],[Werkzeuge (€)]]/O$24</f>
        <v>0.31605889492849226</v>
      </c>
      <c r="Z6" s="244">
        <f>Tabelle3[[#This Row],[Werkzeuge (Backer)]]/P$24</f>
        <v>0.29629629629629628</v>
      </c>
      <c r="AA6" s="244">
        <f>Tabelle3[[#This Row],[Mythos (€)]]/Q$24</f>
        <v>0.38534354214485567</v>
      </c>
      <c r="AB6" s="244">
        <f>Tabelle3[[#This Row],[Mythos (Backer)]]/R$24</f>
        <v>0.4219409282700422</v>
      </c>
      <c r="AE6" s="243"/>
      <c r="AG6" s="243"/>
      <c r="AI6" s="255"/>
      <c r="AK6" s="243"/>
    </row>
    <row r="7" spans="2:40" x14ac:dyDescent="0.25">
      <c r="B7">
        <v>4</v>
      </c>
      <c r="C7" s="238">
        <v>18881</v>
      </c>
      <c r="D7" s="238">
        <v>95</v>
      </c>
      <c r="E7" s="246">
        <f t="shared" si="0"/>
        <v>19435.905814656642</v>
      </c>
      <c r="F7" s="246">
        <f t="shared" si="1"/>
        <v>136.85750636132315</v>
      </c>
      <c r="G7" s="239">
        <f>Tabelle3[[#This Row],[Werkzeuge (€)]]/$O$24*$G$24</f>
        <v>21920.78875461033</v>
      </c>
      <c r="H7" s="239">
        <f>Tabelle3[[#This Row],[Werkzeuge (Backer)]]/$P$24*$H$24</f>
        <v>113.37169312169313</v>
      </c>
      <c r="I7" s="246">
        <f>Tabelle3[[#This Row],[Mythos (€)]]/$Q$24*$I$24</f>
        <v>26153.174071964302</v>
      </c>
      <c r="J7" s="246">
        <f>Tabelle3[[#This Row],[Mythos (Backer)]]/$R$24*$J$24</f>
        <v>157.55719643694326</v>
      </c>
      <c r="K7" s="239">
        <f>Tabelle3[[#This Row],[DSK (€)]]/$S$24*$I$24</f>
        <v>24240.75664215468</v>
      </c>
      <c r="L7" s="239">
        <f>Tabelle3[[#This Row],[DSK (Backer)]]/$T$24*$L$24</f>
        <v>140.07339449541286</v>
      </c>
      <c r="M7" s="245">
        <f t="shared" si="2"/>
        <v>83000</v>
      </c>
      <c r="N7" s="245">
        <f t="shared" si="3"/>
        <v>620</v>
      </c>
      <c r="O7" s="238">
        <v>59963</v>
      </c>
      <c r="P7" s="238">
        <v>247</v>
      </c>
      <c r="Q7" s="245">
        <f>Q6+($Q$24-$Q$6)/18</f>
        <v>50076.333333333336</v>
      </c>
      <c r="R7" s="245">
        <f>R6+($R$24-$R$6)/18</f>
        <v>322.83333333333331</v>
      </c>
      <c r="S7" s="238">
        <f>'DSK - Fasar'!AA133</f>
        <v>47957</v>
      </c>
      <c r="T7" s="238">
        <f>'DSK - Fasar'!AG133</f>
        <v>264</v>
      </c>
      <c r="U7" s="244">
        <f>Tabelle3[[#This Row],[Aventuria (€)]]/C$24</f>
        <v>0.30284706071056222</v>
      </c>
      <c r="V7" s="244">
        <f>Tabelle3[[#This Row],[Aventuria (Backer)]]/D$24</f>
        <v>0.2737752161383285</v>
      </c>
      <c r="W7" s="244"/>
      <c r="X7" s="244"/>
      <c r="Y7" s="244">
        <f>Tabelle3[[#This Row],[Werkzeuge (€)]]/O$24</f>
        <v>0.35160459948047684</v>
      </c>
      <c r="Z7" s="244">
        <f>Tabelle3[[#This Row],[Werkzeuge (Backer)]]/P$24</f>
        <v>0.32671957671957674</v>
      </c>
      <c r="AA7" s="244"/>
      <c r="AB7" s="244"/>
      <c r="AD7" s="262" t="s">
        <v>177</v>
      </c>
      <c r="AE7" s="268" t="s">
        <v>177</v>
      </c>
      <c r="AF7" s="269" t="s">
        <v>177</v>
      </c>
      <c r="AG7" s="263" t="s">
        <v>177</v>
      </c>
      <c r="AJ7" s="240" t="s">
        <v>177</v>
      </c>
      <c r="AK7" s="241" t="s">
        <v>177</v>
      </c>
      <c r="AM7" t="s">
        <v>102</v>
      </c>
      <c r="AN7" t="s">
        <v>215</v>
      </c>
    </row>
    <row r="8" spans="2:40" x14ac:dyDescent="0.25">
      <c r="B8">
        <v>5</v>
      </c>
      <c r="C8" s="238">
        <v>21886</v>
      </c>
      <c r="D8" s="238">
        <v>111</v>
      </c>
      <c r="E8" s="246">
        <f t="shared" si="0"/>
        <v>20840.911054270375</v>
      </c>
      <c r="F8" s="246">
        <f t="shared" si="1"/>
        <v>145.68702290076334</v>
      </c>
      <c r="G8" s="239">
        <f>Tabelle3[[#This Row],[Werkzeuge (€)]]/$O$24*$G$24</f>
        <v>23073.071431503275</v>
      </c>
      <c r="H8" s="239">
        <f>Tabelle3[[#This Row],[Werkzeuge (Backer)]]/$P$24*$H$24</f>
        <v>121.17460317460316</v>
      </c>
      <c r="I8" s="246">
        <f>Tabelle3[[#This Row],[Mythos (€)]]/$Q$24*$I$24</f>
        <v>28282.10500890758</v>
      </c>
      <c r="J8" s="246">
        <f>Tabelle3[[#This Row],[Mythos (Backer)]]/$R$24*$J$24</f>
        <v>168.70089076418188</v>
      </c>
      <c r="K8" s="239">
        <f>Tabelle3[[#This Row],[DSK (€)]]/$S$24*$I$24</f>
        <v>25659.10147477319</v>
      </c>
      <c r="L8" s="239">
        <f>Tabelle3[[#This Row],[DSK (Backer)]]/$T$24*$L$24</f>
        <v>148.56269113149847</v>
      </c>
      <c r="M8" s="245">
        <f t="shared" si="2"/>
        <v>89000</v>
      </c>
      <c r="N8" s="245">
        <f t="shared" si="3"/>
        <v>660</v>
      </c>
      <c r="O8" s="238">
        <v>63115</v>
      </c>
      <c r="P8" s="238">
        <v>264</v>
      </c>
      <c r="Q8" s="245">
        <f t="shared" ref="Q8:Q23" si="4">Q7+($Q$24-$Q$6)/18</f>
        <v>54152.666666666672</v>
      </c>
      <c r="R8" s="245">
        <f t="shared" ref="R8:R23" si="5">R7+($R$24-$R$6)/18</f>
        <v>345.66666666666663</v>
      </c>
      <c r="S8" s="238">
        <f>'DSK - Fasar'!AA134</f>
        <v>50763</v>
      </c>
      <c r="T8" s="238">
        <f>'DSK - Fasar'!AG134</f>
        <v>280</v>
      </c>
      <c r="U8" s="244">
        <f>Tabelle3[[#This Row],[Aventuria (€)]]/C$24</f>
        <v>0.35104659555698131</v>
      </c>
      <c r="V8" s="244">
        <f>Tabelle3[[#This Row],[Aventuria (Backer)]]/D$24</f>
        <v>0.31988472622478387</v>
      </c>
      <c r="W8" s="244"/>
      <c r="X8" s="244"/>
      <c r="Y8" s="244">
        <f>Tabelle3[[#This Row],[Werkzeuge (€)]]/O$24</f>
        <v>0.37008695856128437</v>
      </c>
      <c r="Z8" s="244">
        <f>Tabelle3[[#This Row],[Werkzeuge (Backer)]]/P$24</f>
        <v>0.34920634920634919</v>
      </c>
      <c r="AA8" s="244"/>
      <c r="AB8" s="244"/>
      <c r="AD8" s="264" t="s">
        <v>200</v>
      </c>
      <c r="AE8" s="270" t="s">
        <v>201</v>
      </c>
      <c r="AF8" s="271" t="s">
        <v>202</v>
      </c>
      <c r="AG8" s="265" t="s">
        <v>203</v>
      </c>
      <c r="AI8" s="255"/>
      <c r="AJ8" s="240" t="s">
        <v>210</v>
      </c>
      <c r="AK8" s="243" t="s">
        <v>211</v>
      </c>
      <c r="AL8" s="251" t="s">
        <v>213</v>
      </c>
      <c r="AM8" s="260">
        <f>MIN(AD9,AF9)</f>
        <v>3.9261689343186683</v>
      </c>
      <c r="AN8" s="260">
        <f>MIN(AE9,AG9)</f>
        <v>3.1440000000000001</v>
      </c>
    </row>
    <row r="9" spans="2:40" x14ac:dyDescent="0.25">
      <c r="B9">
        <v>6</v>
      </c>
      <c r="C9" s="238">
        <v>22571</v>
      </c>
      <c r="D9" s="238">
        <v>114.99999999999999</v>
      </c>
      <c r="E9" s="246">
        <f t="shared" si="0"/>
        <v>22245.916293884107</v>
      </c>
      <c r="F9" s="246">
        <f t="shared" si="1"/>
        <v>154.51653944020353</v>
      </c>
      <c r="G9" s="239">
        <f>Tabelle3[[#This Row],[Werkzeuge (€)]]/$O$24*$G$24</f>
        <v>23816.279135222616</v>
      </c>
      <c r="H9" s="239">
        <f>Tabelle3[[#This Row],[Werkzeuge (Backer)]]/$P$24*$H$24</f>
        <v>125.76455026455027</v>
      </c>
      <c r="I9" s="246">
        <f>Tabelle3[[#This Row],[Mythos (€)]]/$Q$24*$I$24</f>
        <v>30411.035945850857</v>
      </c>
      <c r="J9" s="246">
        <f>Tabelle3[[#This Row],[Mythos (Backer)]]/$R$24*$J$24</f>
        <v>179.84458509142053</v>
      </c>
      <c r="K9" s="239">
        <f>Tabelle3[[#This Row],[DSK (€)]]/$S$24*$I$24</f>
        <v>27208.868137926562</v>
      </c>
      <c r="L9" s="239">
        <f>Tabelle3[[#This Row],[DSK (Backer)]]/$T$24*$L$24</f>
        <v>155.99082568807341</v>
      </c>
      <c r="M9" s="245">
        <f t="shared" si="2"/>
        <v>95000</v>
      </c>
      <c r="N9" s="245">
        <f t="shared" si="3"/>
        <v>700</v>
      </c>
      <c r="O9" s="238">
        <v>65148</v>
      </c>
      <c r="P9" s="238">
        <v>274</v>
      </c>
      <c r="Q9" s="245">
        <f t="shared" si="4"/>
        <v>58229.000000000007</v>
      </c>
      <c r="R9" s="245">
        <f t="shared" si="5"/>
        <v>368.49999999999994</v>
      </c>
      <c r="S9" s="238">
        <f>'DSK - Fasar'!AA135</f>
        <v>53829</v>
      </c>
      <c r="T9" s="238">
        <f>'DSK - Fasar'!AG135</f>
        <v>294</v>
      </c>
      <c r="U9" s="244">
        <f>Tabelle3[[#This Row],[Aventuria (€)]]/C$24</f>
        <v>0.36203384393295374</v>
      </c>
      <c r="V9" s="244">
        <f>Tabelle3[[#This Row],[Aventuria (Backer)]]/D$24</f>
        <v>0.33141210374639768</v>
      </c>
      <c r="W9" s="244"/>
      <c r="X9" s="244"/>
      <c r="Y9" s="244">
        <f>Tabelle3[[#This Row],[Werkzeuge (€)]]/O$24</f>
        <v>0.38200784562070117</v>
      </c>
      <c r="Z9" s="244">
        <f>Tabelle3[[#This Row],[Werkzeuge (Backer)]]/P$24</f>
        <v>0.36243386243386244</v>
      </c>
      <c r="AA9" s="244"/>
      <c r="AB9" s="244"/>
      <c r="AD9" s="264">
        <f>M24/M4</f>
        <v>4.0960153846153844</v>
      </c>
      <c r="AE9" s="270">
        <f t="shared" ref="AE9:AK9" si="6">N24/N4</f>
        <v>3.1440000000000001</v>
      </c>
      <c r="AF9" s="271">
        <f t="shared" si="6"/>
        <v>3.9261689343186683</v>
      </c>
      <c r="AG9" s="265">
        <f t="shared" si="6"/>
        <v>4.2234636871508382</v>
      </c>
      <c r="AI9" s="255"/>
      <c r="AJ9" s="256">
        <f t="shared" si="6"/>
        <v>3.3883028405032691</v>
      </c>
      <c r="AK9" s="257">
        <f t="shared" si="6"/>
        <v>3.3538461538461539</v>
      </c>
      <c r="AL9" t="s">
        <v>214</v>
      </c>
      <c r="AM9" s="261">
        <f>MAX(AD9,AF9)</f>
        <v>4.0960153846153844</v>
      </c>
      <c r="AN9" s="261">
        <f>MAX(AE9,AG9)</f>
        <v>4.2234636871508382</v>
      </c>
    </row>
    <row r="10" spans="2:40" ht="15.75" thickBot="1" x14ac:dyDescent="0.3">
      <c r="B10">
        <v>7</v>
      </c>
      <c r="C10" s="238">
        <v>24180</v>
      </c>
      <c r="D10" s="238">
        <v>124</v>
      </c>
      <c r="E10" s="246">
        <f t="shared" si="0"/>
        <v>23650.92153349784</v>
      </c>
      <c r="F10" s="246">
        <f t="shared" si="1"/>
        <v>163.34605597964372</v>
      </c>
      <c r="G10" s="239">
        <f>Tabelle3[[#This Row],[Werkzeuge (€)]]/$O$24*$G$24</f>
        <v>25452.213456001784</v>
      </c>
      <c r="H10" s="239">
        <f>Tabelle3[[#This Row],[Werkzeuge (Backer)]]/$P$24*$H$24</f>
        <v>135.40343915343917</v>
      </c>
      <c r="I10" s="246">
        <f>Tabelle3[[#This Row],[Mythos (€)]]/$Q$24*$I$24</f>
        <v>32539.966882794135</v>
      </c>
      <c r="J10" s="246">
        <f>Tabelle3[[#This Row],[Mythos (Backer)]]/$R$24*$J$24</f>
        <v>190.98827941865915</v>
      </c>
      <c r="K10" s="239">
        <f>Tabelle3[[#This Row],[DSK (€)]]/$S$24*$I$24</f>
        <v>28296.636519892007</v>
      </c>
      <c r="L10" s="239">
        <f>Tabelle3[[#This Row],[DSK (Backer)]]/$T$24*$L$24</f>
        <v>163.4189602446483</v>
      </c>
      <c r="M10" s="245">
        <f t="shared" si="2"/>
        <v>101000</v>
      </c>
      <c r="N10" s="245">
        <f t="shared" si="3"/>
        <v>740</v>
      </c>
      <c r="O10" s="238">
        <v>69623</v>
      </c>
      <c r="P10" s="238">
        <v>295</v>
      </c>
      <c r="Q10" s="245">
        <f t="shared" si="4"/>
        <v>62305.333333333343</v>
      </c>
      <c r="R10" s="245">
        <f t="shared" si="5"/>
        <v>391.33333333333326</v>
      </c>
      <c r="S10" s="238">
        <f>'DSK - Fasar'!AA136</f>
        <v>55981</v>
      </c>
      <c r="T10" s="238">
        <f>'DSK - Fasar'!AG136</f>
        <v>308</v>
      </c>
      <c r="U10" s="244">
        <f>Tabelle3[[#This Row],[Aventuria (€)]]/C$24</f>
        <v>0.38784184778250058</v>
      </c>
      <c r="V10" s="244">
        <f>Tabelle3[[#This Row],[Aventuria (Backer)]]/D$24</f>
        <v>0.35734870317002881</v>
      </c>
      <c r="W10" s="244"/>
      <c r="X10" s="244"/>
      <c r="Y10" s="244">
        <f>Tabelle3[[#This Row],[Werkzeuge (€)]]/O$24</f>
        <v>0.40824787001366242</v>
      </c>
      <c r="Z10" s="244">
        <f>Tabelle3[[#This Row],[Werkzeuge (Backer)]]/P$24</f>
        <v>0.39021164021164023</v>
      </c>
      <c r="AA10" s="244"/>
      <c r="AB10" s="244"/>
      <c r="AD10" s="266"/>
      <c r="AE10" s="272">
        <f>AD9-AE9</f>
        <v>0.95201538461538426</v>
      </c>
      <c r="AF10" s="273"/>
      <c r="AG10" s="267">
        <f>AF9-AG9</f>
        <v>-0.29729475283216988</v>
      </c>
      <c r="AI10" s="255"/>
      <c r="AK10" s="243">
        <f>AJ9-AK9</f>
        <v>3.445668665711521E-2</v>
      </c>
    </row>
    <row r="11" spans="2:40" x14ac:dyDescent="0.25">
      <c r="B11">
        <v>8</v>
      </c>
      <c r="C11" s="238">
        <v>26679</v>
      </c>
      <c r="D11" s="238">
        <v>136</v>
      </c>
      <c r="E11" s="246">
        <f t="shared" si="0"/>
        <v>25055.926773111572</v>
      </c>
      <c r="F11" s="246">
        <f t="shared" si="1"/>
        <v>172.17557251908391</v>
      </c>
      <c r="G11" s="239">
        <f>Tabelle3[[#This Row],[Werkzeuge (€)]]/$O$24*$G$24</f>
        <v>26607.420708216792</v>
      </c>
      <c r="H11" s="239">
        <f>Tabelle3[[#This Row],[Werkzeuge (Backer)]]/$P$24*$H$24</f>
        <v>141.37037037037035</v>
      </c>
      <c r="I11" s="246">
        <f>Tabelle3[[#This Row],[Mythos (€)]]/$Q$24*$I$24</f>
        <v>34668.897819737409</v>
      </c>
      <c r="J11" s="246">
        <f>Tabelle3[[#This Row],[Mythos (Backer)]]/$R$24*$J$24</f>
        <v>202.13197374589777</v>
      </c>
      <c r="K11" s="239">
        <f>Tabelle3[[#This Row],[DSK (€)]]/$S$24*$I$24</f>
        <v>29719.025101142361</v>
      </c>
      <c r="L11" s="239">
        <f>Tabelle3[[#This Row],[DSK (Backer)]]/$T$24*$L$24</f>
        <v>172.43883792048928</v>
      </c>
      <c r="M11" s="245">
        <f t="shared" si="2"/>
        <v>107000</v>
      </c>
      <c r="N11" s="245">
        <f t="shared" si="3"/>
        <v>780</v>
      </c>
      <c r="O11" s="238">
        <v>72783</v>
      </c>
      <c r="P11" s="238">
        <v>308</v>
      </c>
      <c r="Q11" s="245">
        <f t="shared" si="4"/>
        <v>66381.666666666672</v>
      </c>
      <c r="R11" s="245">
        <f t="shared" si="5"/>
        <v>414.16666666666657</v>
      </c>
      <c r="S11" s="238">
        <f>'DSK - Fasar'!AA137</f>
        <v>58795</v>
      </c>
      <c r="T11" s="238">
        <f>'DSK - Fasar'!AG137</f>
        <v>325</v>
      </c>
      <c r="U11" s="244">
        <f>Tabelle3[[#This Row],[Aventuria (€)]]/C$24</f>
        <v>0.42792525463148606</v>
      </c>
      <c r="V11" s="244">
        <f>Tabelle3[[#This Row],[Aventuria (Backer)]]/D$24</f>
        <v>0.39193083573487031</v>
      </c>
      <c r="W11" s="244"/>
      <c r="X11" s="244"/>
      <c r="Y11" s="244">
        <f>Tabelle3[[#This Row],[Werkzeuge (€)]]/O$24</f>
        <v>0.42677713863528416</v>
      </c>
      <c r="Z11" s="244">
        <f>Tabelle3[[#This Row],[Werkzeuge (Backer)]]/P$24</f>
        <v>0.40740740740740738</v>
      </c>
      <c r="AA11" s="244"/>
      <c r="AB11" s="244"/>
    </row>
    <row r="12" spans="2:40" ht="15.75" thickBot="1" x14ac:dyDescent="0.3">
      <c r="B12">
        <v>9</v>
      </c>
      <c r="C12" s="238">
        <v>27868</v>
      </c>
      <c r="D12" s="238">
        <v>142</v>
      </c>
      <c r="E12" s="246">
        <f t="shared" si="0"/>
        <v>26460.932012725305</v>
      </c>
      <c r="F12" s="246">
        <f t="shared" si="1"/>
        <v>181.00508905852411</v>
      </c>
      <c r="G12" s="239">
        <f>Tabelle3[[#This Row],[Werkzeuge (€)]]/$O$24*$G$24</f>
        <v>28001.711993010478</v>
      </c>
      <c r="H12" s="239">
        <f>Tabelle3[[#This Row],[Werkzeuge (Backer)]]/$P$24*$H$24</f>
        <v>151.00925925925927</v>
      </c>
      <c r="I12" s="246">
        <f>Tabelle3[[#This Row],[Mythos (€)]]/$Q$24*$I$24</f>
        <v>36797.828756680683</v>
      </c>
      <c r="J12" s="246">
        <f>Tabelle3[[#This Row],[Mythos (Backer)]]/$R$24*$J$24</f>
        <v>213.27566807313639</v>
      </c>
      <c r="K12" s="239">
        <f>Tabelle3[[#This Row],[DSK (€)]]/$S$24*$I$24</f>
        <v>31996.161049448281</v>
      </c>
      <c r="L12" s="239">
        <f>Tabelle3[[#This Row],[DSK (Backer)]]/$T$24*$L$24</f>
        <v>185.70336391437311</v>
      </c>
      <c r="M12" s="245">
        <f t="shared" si="2"/>
        <v>113000</v>
      </c>
      <c r="N12" s="245">
        <f t="shared" si="3"/>
        <v>820</v>
      </c>
      <c r="O12" s="238">
        <v>76597</v>
      </c>
      <c r="P12" s="238">
        <v>329</v>
      </c>
      <c r="Q12" s="245">
        <f t="shared" si="4"/>
        <v>70458</v>
      </c>
      <c r="R12" s="245">
        <f t="shared" si="5"/>
        <v>436.99999999999989</v>
      </c>
      <c r="S12" s="238">
        <f>'DSK - Fasar'!AA138</f>
        <v>63300</v>
      </c>
      <c r="T12" s="238">
        <f>'DSK - Fasar'!AG138</f>
        <v>350</v>
      </c>
      <c r="U12" s="244">
        <f>Tabelle3[[#This Row],[Aventuria (€)]]/C$24</f>
        <v>0.44699655144759004</v>
      </c>
      <c r="V12" s="244">
        <f>Tabelle3[[#This Row],[Aventuria (Backer)]]/D$24</f>
        <v>0.40922190201729108</v>
      </c>
      <c r="W12" s="244"/>
      <c r="X12" s="244"/>
      <c r="Y12" s="244">
        <f>Tabelle3[[#This Row],[Werkzeuge (€)]]/O$24</f>
        <v>0.44914126221846945</v>
      </c>
      <c r="Z12" s="244">
        <f>Tabelle3[[#This Row],[Werkzeuge (Backer)]]/P$24</f>
        <v>0.43518518518518517</v>
      </c>
      <c r="AA12" s="244"/>
      <c r="AB12" s="244"/>
    </row>
    <row r="13" spans="2:40" x14ac:dyDescent="0.25">
      <c r="B13">
        <v>10</v>
      </c>
      <c r="C13" s="238">
        <v>31587</v>
      </c>
      <c r="D13" s="238">
        <v>161</v>
      </c>
      <c r="E13" s="246">
        <f t="shared" si="0"/>
        <v>27865.937252339038</v>
      </c>
      <c r="F13" s="246">
        <f t="shared" si="1"/>
        <v>189.8346055979643</v>
      </c>
      <c r="G13" s="239">
        <f>Tabelle3[[#This Row],[Werkzeuge (€)]]/$O$24*$G$24</f>
        <v>29730.867152180414</v>
      </c>
      <c r="H13" s="239">
        <f>Tabelle3[[#This Row],[Werkzeuge (Backer)]]/$P$24*$H$24</f>
        <v>160.64814814814815</v>
      </c>
      <c r="I13" s="246">
        <f>Tabelle3[[#This Row],[Mythos (€)]]/$Q$24*$I$24</f>
        <v>38926.759693623957</v>
      </c>
      <c r="J13" s="246">
        <f>Tabelle3[[#This Row],[Mythos (Backer)]]/$R$24*$J$24</f>
        <v>224.41936240037501</v>
      </c>
      <c r="K13" s="239">
        <f>Tabelle3[[#This Row],[DSK (€)]]/$S$24*$I$24</f>
        <v>33689.48078903203</v>
      </c>
      <c r="L13" s="239">
        <f>Tabelle3[[#This Row],[DSK (Backer)]]/$T$24*$L$24</f>
        <v>195.78440366972475</v>
      </c>
      <c r="M13" s="245">
        <f t="shared" si="2"/>
        <v>119000</v>
      </c>
      <c r="N13" s="245">
        <f t="shared" si="3"/>
        <v>860</v>
      </c>
      <c r="O13" s="238">
        <v>81327</v>
      </c>
      <c r="P13" s="238">
        <v>350</v>
      </c>
      <c r="Q13" s="245">
        <f t="shared" si="4"/>
        <v>74534.333333333328</v>
      </c>
      <c r="R13" s="245">
        <f t="shared" si="5"/>
        <v>459.8333333333332</v>
      </c>
      <c r="S13" s="238">
        <f>'DSK - Fasar'!AA139</f>
        <v>66650</v>
      </c>
      <c r="T13" s="238">
        <f>'DSK - Fasar'!AG139</f>
        <v>369</v>
      </c>
      <c r="U13" s="244">
        <f>Tabelle3[[#This Row],[Aventuria (€)]]/C$24</f>
        <v>0.50664848825086217</v>
      </c>
      <c r="V13" s="244">
        <f>Tabelle3[[#This Row],[Aventuria (Backer)]]/D$24</f>
        <v>0.46397694524495675</v>
      </c>
      <c r="W13" s="244"/>
      <c r="X13" s="244"/>
      <c r="Y13" s="244">
        <f>Tabelle3[[#This Row],[Werkzeuge (€)]]/O$24</f>
        <v>0.47687652822488436</v>
      </c>
      <c r="Z13" s="244">
        <f>Tabelle3[[#This Row],[Werkzeuge (Backer)]]/P$24</f>
        <v>0.46296296296296297</v>
      </c>
      <c r="AA13" s="244"/>
      <c r="AB13" s="244"/>
      <c r="AD13" s="240" t="s">
        <v>212</v>
      </c>
      <c r="AE13" s="241" t="s">
        <v>212</v>
      </c>
      <c r="AF13" s="262" t="s">
        <v>212</v>
      </c>
      <c r="AG13" s="263" t="s">
        <v>212</v>
      </c>
      <c r="AH13" s="254" t="s">
        <v>212</v>
      </c>
      <c r="AI13" s="259" t="s">
        <v>212</v>
      </c>
      <c r="AJ13" s="240" t="s">
        <v>212</v>
      </c>
      <c r="AK13" s="241" t="s">
        <v>212</v>
      </c>
    </row>
    <row r="14" spans="2:40" x14ac:dyDescent="0.25">
      <c r="B14">
        <v>11</v>
      </c>
      <c r="C14" s="238">
        <v>34703</v>
      </c>
      <c r="D14" s="238">
        <v>178</v>
      </c>
      <c r="E14" s="239">
        <f>Tabelle3[[#This Row],[Thorwal (€)]]/M24*E24</f>
        <v>29270.942491952781</v>
      </c>
      <c r="F14" s="239">
        <f>Tabelle3[[#This Row],[Thorwal (Backer)]]/N24*F24</f>
        <v>198.66412213740458</v>
      </c>
      <c r="G14" s="239">
        <f>Tabelle3[[#This Row],[Werkzeuge (€)]]/$O$24*$G$24</f>
        <v>30365.134425152894</v>
      </c>
      <c r="H14" s="239">
        <f>Tabelle3[[#This Row],[Werkzeuge (Backer)]]/$P$24*$H$24</f>
        <v>163.40211640211641</v>
      </c>
      <c r="I14" s="246">
        <f>Tabelle3[[#This Row],[Mythos (€)]]/$Q$24*$I$24</f>
        <v>41055.690630567231</v>
      </c>
      <c r="J14" s="246">
        <f>Tabelle3[[#This Row],[Mythos (Backer)]]/$R$24*$J$24</f>
        <v>235.56305672761363</v>
      </c>
      <c r="K14" s="239">
        <f>Tabelle3[[#This Row],[DSK (€)]]/$S$24*$I$24</f>
        <v>35214.984960394358</v>
      </c>
      <c r="L14" s="239">
        <f>Tabelle3[[#This Row],[DSK (Backer)]]/$T$24*$L$24</f>
        <v>204.80428134556576</v>
      </c>
      <c r="M14" s="238">
        <v>125000</v>
      </c>
      <c r="N14" s="238">
        <v>900</v>
      </c>
      <c r="O14" s="238">
        <v>83062</v>
      </c>
      <c r="P14" s="238">
        <v>356</v>
      </c>
      <c r="Q14" s="245">
        <f t="shared" si="4"/>
        <v>78610.666666666657</v>
      </c>
      <c r="R14" s="245">
        <f t="shared" si="5"/>
        <v>482.66666666666652</v>
      </c>
      <c r="S14" s="238">
        <f>'DSK - Fasar'!AA140</f>
        <v>69668</v>
      </c>
      <c r="T14" s="238">
        <f>'DSK - Fasar'!AG140</f>
        <v>386</v>
      </c>
      <c r="U14" s="244">
        <f>Tabelle3[[#This Row],[Aventuria (€)]]/C$24</f>
        <v>0.55662843852754829</v>
      </c>
      <c r="V14" s="244">
        <f>Tabelle3[[#This Row],[Aventuria (Backer)]]/D$24</f>
        <v>0.51296829971181557</v>
      </c>
      <c r="W14" s="244">
        <f>Tabelle3[[#This Row],[Thorwal (€)]]/M$24</f>
        <v>0.46949943847867159</v>
      </c>
      <c r="X14" s="244">
        <f>Tabelle3[[#This Row],[Thorwal (Backer)]]/N$24</f>
        <v>0.5725190839694656</v>
      </c>
      <c r="Y14" s="244">
        <f>Tabelle3[[#This Row],[Werkzeuge (€)]]/O$24</f>
        <v>0.48705003488897097</v>
      </c>
      <c r="Z14" s="244">
        <f>Tabelle3[[#This Row],[Werkzeuge (Backer)]]/P$24</f>
        <v>0.47089947089947087</v>
      </c>
      <c r="AA14" s="244"/>
      <c r="AB14" s="244"/>
      <c r="AD14" s="240" t="s">
        <v>200</v>
      </c>
      <c r="AE14" s="243" t="s">
        <v>201</v>
      </c>
      <c r="AF14" s="264" t="s">
        <v>202</v>
      </c>
      <c r="AG14" s="265" t="s">
        <v>203</v>
      </c>
      <c r="AH14" s="254" t="s">
        <v>204</v>
      </c>
      <c r="AI14" s="255" t="s">
        <v>205</v>
      </c>
      <c r="AJ14" s="240" t="s">
        <v>210</v>
      </c>
      <c r="AK14" s="243" t="s">
        <v>211</v>
      </c>
      <c r="AL14" s="251" t="s">
        <v>213</v>
      </c>
      <c r="AM14" s="260">
        <f>MIN(AD15,AF15,AH15)</f>
        <v>3.4437421751948629</v>
      </c>
      <c r="AN14" s="260">
        <f>MIN(AE15,AG15,AI15)</f>
        <v>2.911111111111111</v>
      </c>
    </row>
    <row r="15" spans="2:40" x14ac:dyDescent="0.25">
      <c r="B15">
        <v>12</v>
      </c>
      <c r="C15" s="238">
        <v>36986</v>
      </c>
      <c r="D15" s="238">
        <v>193</v>
      </c>
      <c r="E15" s="246">
        <f>E14+($E$24-$E$14)/10</f>
        <v>32578.348242757504</v>
      </c>
      <c r="F15" s="246">
        <f>F14+($F$24-$F$14)/10</f>
        <v>213.4977099236641</v>
      </c>
      <c r="G15" s="239">
        <f>Tabelle3[[#This Row],[Werkzeuge (€)]]/$O$24*$G$24</f>
        <v>31495.482787130364</v>
      </c>
      <c r="H15" s="239">
        <f>Tabelle3[[#This Row],[Werkzeuge (Backer)]]/$P$24*$H$24</f>
        <v>170.28703703703704</v>
      </c>
      <c r="I15" s="246">
        <f>Tabelle3[[#This Row],[Mythos (€)]]/$Q$24*$I$24</f>
        <v>43184.621567510505</v>
      </c>
      <c r="J15" s="246">
        <f>Tabelle3[[#This Row],[Mythos (Backer)]]/$R$24*$J$24</f>
        <v>246.70675105485225</v>
      </c>
      <c r="K15" s="239">
        <f>Tabelle3[[#This Row],[DSK (€)]]/$S$24*$I$24</f>
        <v>36032.833121184362</v>
      </c>
      <c r="L15" s="239">
        <f>Tabelle3[[#This Row],[DSK (Backer)]]/$T$24*$L$24</f>
        <v>209.57951070336389</v>
      </c>
      <c r="M15" s="245">
        <f>M14+($M$24-$M$14)/10</f>
        <v>139124.1</v>
      </c>
      <c r="N15" s="245">
        <f>N14+($N$24-$N$14)/10</f>
        <v>967.2</v>
      </c>
      <c r="O15" s="238">
        <v>86154</v>
      </c>
      <c r="P15" s="238">
        <v>371</v>
      </c>
      <c r="Q15" s="245">
        <f t="shared" si="4"/>
        <v>82686.999999999985</v>
      </c>
      <c r="R15" s="245">
        <f t="shared" si="5"/>
        <v>505.49999999999983</v>
      </c>
      <c r="S15" s="238">
        <f>'DSK - Fasar'!AA141</f>
        <v>71286</v>
      </c>
      <c r="T15" s="238">
        <f>'DSK - Fasar'!AG141</f>
        <v>395</v>
      </c>
      <c r="U15" s="244">
        <f>Tabelle3[[#This Row],[Aventuria (€)]]/C$24</f>
        <v>0.59324725318790605</v>
      </c>
      <c r="V15" s="244">
        <f>Tabelle3[[#This Row],[Aventuria (Backer)]]/D$24</f>
        <v>0.55619596541786742</v>
      </c>
      <c r="W15" s="244"/>
      <c r="X15" s="244"/>
      <c r="Y15" s="244">
        <f>Tabelle3[[#This Row],[Werkzeuge (€)]]/O$24</f>
        <v>0.50518057241367176</v>
      </c>
      <c r="Z15" s="244">
        <f>Tabelle3[[#This Row],[Werkzeuge (Backer)]]/P$24</f>
        <v>0.49074074074074076</v>
      </c>
      <c r="AA15" s="244"/>
      <c r="AB15" s="244"/>
      <c r="AD15" s="240">
        <f t="shared" ref="AD15:AK15" si="7">M24/M5</f>
        <v>3.7498732394366199</v>
      </c>
      <c r="AE15" s="243">
        <f t="shared" si="7"/>
        <v>2.911111111111111</v>
      </c>
      <c r="AF15" s="264">
        <f t="shared" si="7"/>
        <v>3.4437421751948629</v>
      </c>
      <c r="AG15" s="265">
        <f t="shared" si="7"/>
        <v>3.6699029126213594</v>
      </c>
      <c r="AH15" s="254">
        <f t="shared" si="7"/>
        <v>3.8926304347826086</v>
      </c>
      <c r="AI15" s="255">
        <f t="shared" si="7"/>
        <v>3.5550000000000002</v>
      </c>
      <c r="AJ15" s="256">
        <f t="shared" si="7"/>
        <v>2.8913242223211983</v>
      </c>
      <c r="AK15" s="257">
        <f t="shared" si="7"/>
        <v>2.8068669527896994</v>
      </c>
      <c r="AL15" t="s">
        <v>214</v>
      </c>
      <c r="AM15" s="261">
        <f>MAX(AD15,AF15,AH15)</f>
        <v>3.8926304347826086</v>
      </c>
      <c r="AN15" s="261">
        <f>MAX(AE15,AG15,AI15)</f>
        <v>3.6699029126213594</v>
      </c>
    </row>
    <row r="16" spans="2:40" ht="15.75" thickBot="1" x14ac:dyDescent="0.3">
      <c r="B16">
        <v>13</v>
      </c>
      <c r="C16" s="238">
        <v>37704</v>
      </c>
      <c r="D16" s="238">
        <v>197</v>
      </c>
      <c r="E16" s="246">
        <f t="shared" ref="E16:E23" si="8">E15+($E$24-$E$14)/10</f>
        <v>35885.753993562226</v>
      </c>
      <c r="F16" s="246">
        <f t="shared" ref="F16:F23" si="9">F15+($F$24-$F$14)/10</f>
        <v>228.33129770992366</v>
      </c>
      <c r="G16" s="239">
        <f>Tabelle3[[#This Row],[Werkzeuge (€)]]/$O$24*$G$24</f>
        <v>32558.56591670038</v>
      </c>
      <c r="H16" s="239">
        <f>Tabelle3[[#This Row],[Werkzeuge (Backer)]]/$P$24*$H$24</f>
        <v>177.17195767195767</v>
      </c>
      <c r="I16" s="246">
        <f>Tabelle3[[#This Row],[Mythos (€)]]/$Q$24*$I$24</f>
        <v>45313.552504453779</v>
      </c>
      <c r="J16" s="246">
        <f>Tabelle3[[#This Row],[Mythos (Backer)]]/$R$24*$J$24</f>
        <v>257.85044538209087</v>
      </c>
      <c r="K16" s="239">
        <f>Tabelle3[[#This Row],[DSK (€)]]/$S$24*$I$24</f>
        <v>37444.60686227613</v>
      </c>
      <c r="L16" s="239">
        <f>Tabelle3[[#This Row],[DSK (Backer)]]/$T$24*$L$24</f>
        <v>217.5382262996942</v>
      </c>
      <c r="M16" s="245">
        <f t="shared" ref="M16:M23" si="10">M15+($M$24-$M$14)/10</f>
        <v>153248.20000000001</v>
      </c>
      <c r="N16" s="245">
        <f t="shared" ref="N16:N23" si="11">N15+($N$24-$N$14)/10</f>
        <v>1034.4000000000001</v>
      </c>
      <c r="O16" s="238">
        <v>89062</v>
      </c>
      <c r="P16" s="238">
        <v>386</v>
      </c>
      <c r="Q16" s="245">
        <f t="shared" si="4"/>
        <v>86763.333333333314</v>
      </c>
      <c r="R16" s="245">
        <f t="shared" si="5"/>
        <v>528.33333333333314</v>
      </c>
      <c r="S16" s="238">
        <f>'DSK - Fasar'!AA142</f>
        <v>74079</v>
      </c>
      <c r="T16" s="238">
        <f>'DSK - Fasar'!AG142</f>
        <v>410</v>
      </c>
      <c r="U16" s="244">
        <f>Tabelle3[[#This Row],[Aventuria (€)]]/C$24</f>
        <v>0.60476381425936321</v>
      </c>
      <c r="V16" s="244">
        <f>Tabelle3[[#This Row],[Aventuria (Backer)]]/D$24</f>
        <v>0.56772334293948123</v>
      </c>
      <c r="W16" s="244"/>
      <c r="X16" s="244"/>
      <c r="Y16" s="244">
        <f>Tabelle3[[#This Row],[Werkzeuge (€)]]/O$24</f>
        <v>0.5222321904996452</v>
      </c>
      <c r="Z16" s="244">
        <f>Tabelle3[[#This Row],[Werkzeuge (Backer)]]/P$24</f>
        <v>0.51058201058201058</v>
      </c>
      <c r="AA16" s="244"/>
      <c r="AB16" s="244"/>
      <c r="AE16" s="243">
        <f>AD15-AE15</f>
        <v>0.83876212832550889</v>
      </c>
      <c r="AF16" s="266"/>
      <c r="AG16" s="267">
        <f>AF15-AG15</f>
        <v>-0.22616073742649645</v>
      </c>
      <c r="AI16" s="255">
        <f>AH15-AI15</f>
        <v>0.33763043478260846</v>
      </c>
      <c r="AK16" s="243">
        <f>AJ15-AK15</f>
        <v>8.4457269531498902E-2</v>
      </c>
    </row>
    <row r="17" spans="2:37" x14ac:dyDescent="0.25">
      <c r="B17">
        <v>14</v>
      </c>
      <c r="C17" s="238">
        <v>38541</v>
      </c>
      <c r="D17" s="238">
        <v>205</v>
      </c>
      <c r="E17" s="246">
        <f t="shared" si="8"/>
        <v>39193.159744366945</v>
      </c>
      <c r="F17" s="246">
        <f t="shared" si="9"/>
        <v>243.16488549618322</v>
      </c>
      <c r="G17" s="239">
        <f>Tabelle3[[#This Row],[Werkzeuge (€)]]/$O$24*$G$24</f>
        <v>34038.035457749167</v>
      </c>
      <c r="H17" s="239">
        <f>Tabelle3[[#This Row],[Werkzeuge (Backer)]]/$P$24*$H$24</f>
        <v>184.97486772486772</v>
      </c>
      <c r="I17" s="246">
        <f>Tabelle3[[#This Row],[Mythos (€)]]/$Q$24*$I$24</f>
        <v>47442.483441397053</v>
      </c>
      <c r="J17" s="246">
        <f>Tabelle3[[#This Row],[Mythos (Backer)]]/$R$24*$J$24</f>
        <v>268.99413970932949</v>
      </c>
      <c r="K17" s="239">
        <f>Tabelle3[[#This Row],[DSK (€)]]/$S$24*$I$24</f>
        <v>38117.891009477789</v>
      </c>
      <c r="L17" s="239">
        <f>Tabelle3[[#This Row],[DSK (Backer)]]/$T$24*$L$24</f>
        <v>221.25229357798165</v>
      </c>
      <c r="M17" s="245">
        <f t="shared" si="10"/>
        <v>167372.30000000002</v>
      </c>
      <c r="N17" s="245">
        <f t="shared" si="11"/>
        <v>1101.6000000000001</v>
      </c>
      <c r="O17" s="238">
        <v>93109</v>
      </c>
      <c r="P17" s="238">
        <v>403</v>
      </c>
      <c r="Q17" s="245">
        <f t="shared" si="4"/>
        <v>90839.666666666642</v>
      </c>
      <c r="R17" s="245">
        <f t="shared" si="5"/>
        <v>551.16666666666652</v>
      </c>
      <c r="S17" s="238">
        <f>'DSK - Fasar'!AA143</f>
        <v>75411</v>
      </c>
      <c r="T17" s="238">
        <f>'DSK - Fasar'!AG143</f>
        <v>417</v>
      </c>
      <c r="U17" s="244">
        <f>Tabelle3[[#This Row],[Aventuria (€)]]/C$24</f>
        <v>0.61818910899029589</v>
      </c>
      <c r="V17" s="244">
        <f>Tabelle3[[#This Row],[Aventuria (Backer)]]/D$24</f>
        <v>0.59077809798270897</v>
      </c>
      <c r="W17" s="244"/>
      <c r="X17" s="244"/>
      <c r="Y17" s="244">
        <f>Tabelle3[[#This Row],[Werkzeuge (€)]]/O$24</f>
        <v>0.54596255445904507</v>
      </c>
      <c r="Z17" s="244">
        <f>Tabelle3[[#This Row],[Werkzeuge (Backer)]]/P$24</f>
        <v>0.53306878306878303</v>
      </c>
      <c r="AA17" s="244"/>
      <c r="AB17" s="244"/>
      <c r="AE17" s="243"/>
      <c r="AG17" s="243"/>
      <c r="AI17" s="255"/>
      <c r="AK17" s="243"/>
    </row>
    <row r="18" spans="2:37" x14ac:dyDescent="0.25">
      <c r="B18">
        <v>15</v>
      </c>
      <c r="C18" s="238">
        <v>40401</v>
      </c>
      <c r="D18" s="238">
        <v>214</v>
      </c>
      <c r="E18" s="246">
        <f t="shared" si="8"/>
        <v>42500.565495171664</v>
      </c>
      <c r="F18" s="246">
        <f t="shared" si="9"/>
        <v>257.99847328244277</v>
      </c>
      <c r="G18" s="239">
        <f>Tabelle3[[#This Row],[Werkzeuge (€)]]/$O$24*$G$24</f>
        <v>35630.832292527899</v>
      </c>
      <c r="H18" s="239">
        <f>Tabelle3[[#This Row],[Werkzeuge (Backer)]]/$P$24*$H$24</f>
        <v>193.69576719576722</v>
      </c>
      <c r="I18" s="246">
        <f>Tabelle3[[#This Row],[Mythos (€)]]/$Q$24*$I$24</f>
        <v>49571.414378340327</v>
      </c>
      <c r="J18" s="246">
        <f>Tabelle3[[#This Row],[Mythos (Backer)]]/$R$24*$J$24</f>
        <v>280.13783403656817</v>
      </c>
      <c r="K18" s="239">
        <f>Tabelle3[[#This Row],[DSK (€)]]/$S$24*$I$24</f>
        <v>38929.168078741051</v>
      </c>
      <c r="L18" s="239">
        <f>Tabelle3[[#This Row],[DSK (Backer)]]/$T$24*$L$24</f>
        <v>226.55810397553518</v>
      </c>
      <c r="M18" s="245">
        <f t="shared" si="10"/>
        <v>181496.40000000002</v>
      </c>
      <c r="N18" s="245">
        <f t="shared" si="11"/>
        <v>1168.8000000000002</v>
      </c>
      <c r="O18" s="238">
        <v>97466</v>
      </c>
      <c r="P18" s="238">
        <v>422</v>
      </c>
      <c r="Q18" s="245">
        <f t="shared" si="4"/>
        <v>94915.999999999971</v>
      </c>
      <c r="R18" s="245">
        <f t="shared" si="5"/>
        <v>573.99999999999989</v>
      </c>
      <c r="S18" s="238">
        <f>'DSK - Fasar'!AA144</f>
        <v>77016</v>
      </c>
      <c r="T18" s="238">
        <f>'DSK - Fasar'!AG144</f>
        <v>427</v>
      </c>
      <c r="U18" s="244">
        <f>Tabelle3[[#This Row],[Aventuria (€)]]/C$24</f>
        <v>0.64802309728125751</v>
      </c>
      <c r="V18" s="244">
        <f>Tabelle3[[#This Row],[Aventuria (Backer)]]/D$24</f>
        <v>0.61671469740634011</v>
      </c>
      <c r="W18" s="244"/>
      <c r="X18" s="244"/>
      <c r="Y18" s="244">
        <f>Tabelle3[[#This Row],[Werkzeuge (€)]]/O$24</f>
        <v>0.57151066312499632</v>
      </c>
      <c r="Z18" s="244">
        <f>Tabelle3[[#This Row],[Werkzeuge (Backer)]]/P$24</f>
        <v>0.55820105820105825</v>
      </c>
      <c r="AA18" s="244"/>
      <c r="AB18" s="244"/>
      <c r="AE18" s="243"/>
      <c r="AG18" s="243"/>
      <c r="AI18" s="255"/>
      <c r="AK18" s="243"/>
    </row>
    <row r="19" spans="2:37" x14ac:dyDescent="0.25">
      <c r="B19">
        <v>16</v>
      </c>
      <c r="C19" s="238">
        <v>42277</v>
      </c>
      <c r="D19" s="238">
        <v>224</v>
      </c>
      <c r="E19" s="246">
        <f t="shared" si="8"/>
        <v>45807.971245976383</v>
      </c>
      <c r="F19" s="246">
        <f t="shared" si="9"/>
        <v>272.83206106870233</v>
      </c>
      <c r="G19" s="239">
        <f>Tabelle3[[#This Row],[Werkzeuge (€)]]/$O$24*$G$24</f>
        <v>37819.145777261772</v>
      </c>
      <c r="H19" s="239">
        <f>Tabelle3[[#This Row],[Werkzeuge (Backer)]]/$P$24*$H$24</f>
        <v>204.25264550264549</v>
      </c>
      <c r="I19" s="246">
        <f>Tabelle3[[#This Row],[Mythos (€)]]/$Q$24*$I$24</f>
        <v>51700.345315283601</v>
      </c>
      <c r="J19" s="246">
        <f>Tabelle3[[#This Row],[Mythos (Backer)]]/$R$24*$J$24</f>
        <v>291.28152836380679</v>
      </c>
      <c r="K19" s="239">
        <f>Tabelle3[[#This Row],[DSK (€)]]/$S$24*$I$24</f>
        <v>40462.254278788074</v>
      </c>
      <c r="L19" s="239">
        <f>Tabelle3[[#This Row],[DSK (Backer)]]/$T$24*$L$24</f>
        <v>235.57798165137615</v>
      </c>
      <c r="M19" s="245">
        <f t="shared" si="10"/>
        <v>195620.50000000003</v>
      </c>
      <c r="N19" s="245">
        <f t="shared" si="11"/>
        <v>1236.0000000000002</v>
      </c>
      <c r="O19" s="238">
        <v>103452</v>
      </c>
      <c r="P19" s="238">
        <v>445</v>
      </c>
      <c r="Q19" s="245">
        <f t="shared" si="4"/>
        <v>98992.333333333299</v>
      </c>
      <c r="R19" s="245">
        <f t="shared" si="5"/>
        <v>596.83333333333326</v>
      </c>
      <c r="S19" s="238">
        <f>'DSK - Fasar'!AA145</f>
        <v>80049</v>
      </c>
      <c r="T19" s="238">
        <f>'DSK - Fasar'!AG145</f>
        <v>444</v>
      </c>
      <c r="U19" s="244">
        <f>Tabelle3[[#This Row],[Aventuria (€)]]/C$24</f>
        <v>0.67811372203063602</v>
      </c>
      <c r="V19" s="244">
        <f>Tabelle3[[#This Row],[Aventuria (Backer)]]/D$24</f>
        <v>0.64553314121037464</v>
      </c>
      <c r="W19" s="244"/>
      <c r="X19" s="244"/>
      <c r="Y19" s="244">
        <f>Tabelle3[[#This Row],[Werkzeuge (€)]]/O$24</f>
        <v>0.60661072703924568</v>
      </c>
      <c r="Z19" s="244">
        <f>Tabelle3[[#This Row],[Werkzeuge (Backer)]]/P$24</f>
        <v>0.58862433862433861</v>
      </c>
      <c r="AA19" s="244"/>
      <c r="AB19" s="244"/>
      <c r="AE19" s="243"/>
      <c r="AG19" s="243"/>
      <c r="AI19" s="255"/>
      <c r="AK19" s="243"/>
    </row>
    <row r="20" spans="2:37" x14ac:dyDescent="0.25">
      <c r="B20">
        <v>17</v>
      </c>
      <c r="C20" s="238">
        <v>44039</v>
      </c>
      <c r="D20" s="238">
        <v>233</v>
      </c>
      <c r="E20" s="246">
        <f t="shared" si="8"/>
        <v>49115.376996781102</v>
      </c>
      <c r="F20" s="246">
        <f t="shared" si="9"/>
        <v>287.66564885496189</v>
      </c>
      <c r="G20" s="247">
        <f>Tabelle3[[#This Row],[Werkzeuge (€)]]/$O$24*$G$24</f>
        <v>40047.306600758762</v>
      </c>
      <c r="H20" s="239">
        <f>Tabelle3[[#This Row],[Werkzeuge (Backer)]]/$P$24*$H$24</f>
        <v>216.18650793650795</v>
      </c>
      <c r="I20" s="246">
        <f>Tabelle3[[#This Row],[Mythos (€)]]/$Q$24*$I$24</f>
        <v>53829.276252226875</v>
      </c>
      <c r="J20" s="246">
        <f>Tabelle3[[#This Row],[Mythos (Backer)]]/$R$24*$J$24</f>
        <v>302.42522269104546</v>
      </c>
      <c r="K20" s="239">
        <f>Tabelle3[[#This Row],[DSK (€)]]/$S$24*$I$24</f>
        <v>43891.353118589919</v>
      </c>
      <c r="L20" s="239">
        <f>Tabelle3[[#This Row],[DSK (Backer)]]/$T$24*$L$24</f>
        <v>258.39296636085629</v>
      </c>
      <c r="M20" s="245">
        <f t="shared" si="10"/>
        <v>209744.60000000003</v>
      </c>
      <c r="N20" s="245">
        <f t="shared" si="11"/>
        <v>1303.2000000000003</v>
      </c>
      <c r="O20" s="248">
        <v>109547</v>
      </c>
      <c r="P20" s="248">
        <v>471</v>
      </c>
      <c r="Q20" s="245">
        <f t="shared" si="4"/>
        <v>103068.66666666663</v>
      </c>
      <c r="R20" s="245">
        <f t="shared" si="5"/>
        <v>619.66666666666663</v>
      </c>
      <c r="S20" s="238">
        <f>'DSK - Fasar'!AA146</f>
        <v>86833</v>
      </c>
      <c r="T20" s="238">
        <f>'DSK - Fasar'!AG146</f>
        <v>487</v>
      </c>
      <c r="U20" s="249">
        <f>Tabelle3[[#This Row],[Aventuria (€)]]/C$24</f>
        <v>0.70637581201379418</v>
      </c>
      <c r="V20" s="244">
        <f>Tabelle3[[#This Row],[Aventuria (Backer)]]/D$24</f>
        <v>0.67146974063400577</v>
      </c>
      <c r="W20" s="244"/>
      <c r="X20" s="244"/>
      <c r="Y20" s="249">
        <f>Tabelle3[[#This Row],[Werkzeuge (€)]]/O$24</f>
        <v>0.64234993344708902</v>
      </c>
      <c r="Z20" s="249">
        <f>Tabelle3[[#This Row],[Werkzeuge (Backer)]]/P$24</f>
        <v>0.62301587301587302</v>
      </c>
      <c r="AA20" s="250"/>
      <c r="AB20" s="250"/>
      <c r="AE20" s="243"/>
      <c r="AG20" s="243"/>
      <c r="AI20" s="255"/>
      <c r="AK20" s="243"/>
    </row>
    <row r="21" spans="2:37" x14ac:dyDescent="0.25">
      <c r="B21">
        <v>18</v>
      </c>
      <c r="C21" s="238">
        <v>46661</v>
      </c>
      <c r="D21" s="238">
        <v>250</v>
      </c>
      <c r="E21" s="246">
        <f t="shared" si="8"/>
        <v>52422.782747585821</v>
      </c>
      <c r="F21" s="246">
        <f t="shared" si="9"/>
        <v>302.49923664122144</v>
      </c>
      <c r="G21" s="247">
        <f>Tabelle3[[#This Row],[Werkzeuge (€)]]/$O$24*$G$24</f>
        <v>42194.310459068496</v>
      </c>
      <c r="H21" s="239">
        <f>Tabelle3[[#This Row],[Werkzeuge (Backer)]]/$P$24*$H$24</f>
        <v>229.95634920634919</v>
      </c>
      <c r="I21" s="246">
        <f>Tabelle3[[#This Row],[Mythos (€)]]/$Q$24*$I$24</f>
        <v>55958.207189170149</v>
      </c>
      <c r="J21" s="246">
        <f>Tabelle3[[#This Row],[Mythos (Backer)]]/$R$24*$J$24</f>
        <v>313.56891701828408</v>
      </c>
      <c r="K21" s="239">
        <f>Tabelle3[[#This Row],[DSK (€)]]/$S$24*$I$24</f>
        <v>46489.967083127267</v>
      </c>
      <c r="L21" s="239">
        <f>Tabelle3[[#This Row],[DSK (Backer)]]/$T$24*$L$24</f>
        <v>272.71865443425077</v>
      </c>
      <c r="M21" s="245">
        <f t="shared" si="10"/>
        <v>223868.70000000004</v>
      </c>
      <c r="N21" s="245">
        <f t="shared" si="11"/>
        <v>1370.4000000000003</v>
      </c>
      <c r="O21" s="248">
        <v>115420</v>
      </c>
      <c r="P21" s="248">
        <v>501</v>
      </c>
      <c r="Q21" s="245">
        <f t="shared" si="4"/>
        <v>107144.99999999996</v>
      </c>
      <c r="R21" s="245">
        <f t="shared" si="5"/>
        <v>642.5</v>
      </c>
      <c r="S21" s="238">
        <f>'DSK - Fasar'!AA147</f>
        <v>91974</v>
      </c>
      <c r="T21" s="238">
        <f>'DSK - Fasar'!AG147</f>
        <v>514</v>
      </c>
      <c r="U21" s="249">
        <f>Tabelle3[[#This Row],[Aventuria (€)]]/C$24</f>
        <v>0.74843211163685941</v>
      </c>
      <c r="V21" s="244">
        <f>Tabelle3[[#This Row],[Aventuria (Backer)]]/D$24</f>
        <v>0.72046109510086453</v>
      </c>
      <c r="W21" s="244"/>
      <c r="X21" s="244"/>
      <c r="Y21" s="249">
        <f>Tabelle3[[#This Row],[Werkzeuge (€)]]/O$24</f>
        <v>0.67678740009733729</v>
      </c>
      <c r="Z21" s="249">
        <f>Tabelle3[[#This Row],[Werkzeuge (Backer)]]/P$24</f>
        <v>0.66269841269841268</v>
      </c>
      <c r="AA21" s="250"/>
      <c r="AB21" s="250"/>
      <c r="AE21" s="243"/>
      <c r="AG21" s="243"/>
      <c r="AI21" s="255"/>
      <c r="AK21" s="243"/>
    </row>
    <row r="22" spans="2:37" x14ac:dyDescent="0.25">
      <c r="B22">
        <v>19</v>
      </c>
      <c r="C22" s="238">
        <v>49576</v>
      </c>
      <c r="D22" s="238">
        <v>267</v>
      </c>
      <c r="E22" s="246">
        <f t="shared" si="8"/>
        <v>55730.18849839054</v>
      </c>
      <c r="F22" s="246">
        <f t="shared" si="9"/>
        <v>317.332824427481</v>
      </c>
      <c r="G22" s="247">
        <f>Tabelle3[[#This Row],[Werkzeuge (€)]]/$O$24*$G$24</f>
        <v>45163.485554793275</v>
      </c>
      <c r="H22" s="239">
        <f>Tabelle3[[#This Row],[Werkzeuge (Backer)]]/$P$24*$H$24</f>
        <v>246.48015873015873</v>
      </c>
      <c r="I22" s="246">
        <f>Tabelle3[[#This Row],[Mythos (€)]]/$Q$24*$I$24</f>
        <v>58087.138126113423</v>
      </c>
      <c r="J22" s="246">
        <f>Tabelle3[[#This Row],[Mythos (Backer)]]/$R$24*$J$24</f>
        <v>324.71261134552276</v>
      </c>
      <c r="K22" s="239">
        <f>Tabelle3[[#This Row],[DSK (€)]]/$S$24*$I$24</f>
        <v>51138.256135429416</v>
      </c>
      <c r="L22" s="239">
        <f>Tabelle3[[#This Row],[DSK (Backer)]]/$T$24*$L$24</f>
        <v>291.28899082568807</v>
      </c>
      <c r="M22" s="245">
        <f t="shared" si="10"/>
        <v>237992.80000000005</v>
      </c>
      <c r="N22" s="245">
        <f t="shared" si="11"/>
        <v>1437.6000000000004</v>
      </c>
      <c r="O22" s="248">
        <v>123542</v>
      </c>
      <c r="P22" s="248">
        <v>537</v>
      </c>
      <c r="Q22" s="245">
        <f t="shared" si="4"/>
        <v>111221.33333333328</v>
      </c>
      <c r="R22" s="245">
        <f t="shared" si="5"/>
        <v>665.33333333333337</v>
      </c>
      <c r="S22" s="238">
        <f>'DSK - Fasar'!AA148</f>
        <v>101170</v>
      </c>
      <c r="T22" s="238">
        <f>'DSK - Fasar'!AG148</f>
        <v>549</v>
      </c>
      <c r="U22" s="249">
        <f>Tabelle3[[#This Row],[Aventuria (€)]]/C$24</f>
        <v>0.79518806640468365</v>
      </c>
      <c r="V22" s="244">
        <f>Tabelle3[[#This Row],[Aventuria (Backer)]]/D$24</f>
        <v>0.7694524495677233</v>
      </c>
      <c r="W22" s="244"/>
      <c r="X22" s="244"/>
      <c r="Y22" s="249">
        <f>Tabelle3[[#This Row],[Werkzeuge (€)]]/O$24</f>
        <v>0.72441231140898665</v>
      </c>
      <c r="Z22" s="249">
        <f>Tabelle3[[#This Row],[Werkzeuge (Backer)]]/P$24</f>
        <v>0.71031746031746035</v>
      </c>
      <c r="AA22" s="250"/>
      <c r="AB22" s="250"/>
    </row>
    <row r="23" spans="2:37" s="251" customFormat="1" x14ac:dyDescent="0.25">
      <c r="B23" s="251">
        <v>20</v>
      </c>
      <c r="C23" s="248">
        <v>54612</v>
      </c>
      <c r="D23" s="248">
        <v>300</v>
      </c>
      <c r="E23" s="252">
        <f t="shared" si="8"/>
        <v>59037.594249195259</v>
      </c>
      <c r="F23" s="252">
        <f t="shared" si="9"/>
        <v>332.16641221374056</v>
      </c>
      <c r="G23" s="247">
        <f>Tabelle3[[#This Row],[Werkzeuge (€)]]/$O$24*$G$24</f>
        <v>47642.79428407245</v>
      </c>
      <c r="H23" s="247">
        <f>Tabelle3[[#This Row],[Werkzeuge (Backer)]]/$P$24*$H$24</f>
        <v>264.38095238095235</v>
      </c>
      <c r="I23" s="252">
        <f>Tabelle3[[#This Row],[Mythos (€)]]/$Q$24*$I$24</f>
        <v>60216.069063056697</v>
      </c>
      <c r="J23" s="252">
        <f>Tabelle3[[#This Row],[Mythos (Backer)]]/$R$24*$J$24</f>
        <v>335.85630567276144</v>
      </c>
      <c r="K23" s="247">
        <f>Tabelle3[[#This Row],[DSK (€)]]/$S$24*$I$24</f>
        <v>55026.320444945311</v>
      </c>
      <c r="L23" s="239">
        <f>Tabelle3[[#This Row],[DSK (Backer)]]/$T$24*$L$24</f>
        <v>309.85932721712538</v>
      </c>
      <c r="M23" s="253">
        <f t="shared" si="10"/>
        <v>252116.90000000005</v>
      </c>
      <c r="N23" s="253">
        <f t="shared" si="11"/>
        <v>1504.8000000000004</v>
      </c>
      <c r="O23" s="248">
        <v>130324</v>
      </c>
      <c r="P23" s="248">
        <v>576</v>
      </c>
      <c r="Q23" s="253">
        <f t="shared" si="4"/>
        <v>115297.66666666661</v>
      </c>
      <c r="R23" s="253">
        <f t="shared" si="5"/>
        <v>688.16666666666674</v>
      </c>
      <c r="S23" s="238">
        <f>'DSK - Fasar'!AA149</f>
        <v>108862</v>
      </c>
      <c r="T23" s="238">
        <f>'DSK - Fasar'!AG149</f>
        <v>584</v>
      </c>
      <c r="U23" s="249">
        <f>Tabelle3[[#This Row],[Aventuria (€)]]/C$24</f>
        <v>0.87596439169139462</v>
      </c>
      <c r="V23" s="249">
        <f>Tabelle3[[#This Row],[Aventuria (Backer)]]/D$24</f>
        <v>0.86455331412103742</v>
      </c>
      <c r="W23" s="249"/>
      <c r="X23" s="249"/>
      <c r="Y23" s="249">
        <f>Tabelle3[[#This Row],[Werkzeuge (€)]]/O$24</f>
        <v>0.76417987463425219</v>
      </c>
      <c r="Z23" s="249">
        <f>Tabelle3[[#This Row],[Werkzeuge (Backer)]]/P$24</f>
        <v>0.76190476190476186</v>
      </c>
      <c r="AA23" s="249"/>
      <c r="AB23" s="249"/>
    </row>
    <row r="24" spans="2:37" x14ac:dyDescent="0.25">
      <c r="B24">
        <v>21</v>
      </c>
      <c r="C24" s="238">
        <v>62345</v>
      </c>
      <c r="D24" s="238">
        <v>347</v>
      </c>
      <c r="E24" s="239">
        <f>Tabelle3[[#This Row],[Aventuria (€)]]</f>
        <v>62345</v>
      </c>
      <c r="F24" s="239">
        <f>Tabelle3[[#This Row],[Aventuria (Backer)]]</f>
        <v>347</v>
      </c>
      <c r="G24" s="247">
        <f>Tabelle3[[#This Row],[Aventuria (€)]]</f>
        <v>62345</v>
      </c>
      <c r="H24" s="247">
        <f>Tabelle3[[#This Row],[Aventuria (Backer)]]</f>
        <v>347</v>
      </c>
      <c r="I24" s="247">
        <f>Tabelle3[[#This Row],[Aventuria (€)]]</f>
        <v>62345</v>
      </c>
      <c r="J24" s="247">
        <f>Tabelle3[[#This Row],[Aventuria (Backer)]]</f>
        <v>347</v>
      </c>
      <c r="K24" s="247">
        <f>Tabelle3[[#This Row],[Aventuria (€)]]</f>
        <v>62345</v>
      </c>
      <c r="L24" s="247">
        <f>Tabelle3[[#This Row],[Aventuria (Backer)]]</f>
        <v>347</v>
      </c>
      <c r="M24" s="238">
        <v>266241</v>
      </c>
      <c r="N24" s="238">
        <v>1572</v>
      </c>
      <c r="O24" s="248">
        <v>170541</v>
      </c>
      <c r="P24" s="248">
        <v>756</v>
      </c>
      <c r="Q24" s="248">
        <v>119374</v>
      </c>
      <c r="R24" s="248">
        <v>711</v>
      </c>
      <c r="S24" s="238">
        <f>'DSK - Fasar'!AA150</f>
        <v>123341</v>
      </c>
      <c r="T24" s="238">
        <f>'DSK - Fasar'!AG150</f>
        <v>654</v>
      </c>
      <c r="U24" s="249">
        <f>Tabelle3[[#This Row],[Aventuria (€)]]/C$24</f>
        <v>1</v>
      </c>
      <c r="V24" s="249">
        <f>Tabelle3[[#This Row],[Aventuria (Backer)]]/D$24</f>
        <v>1</v>
      </c>
      <c r="W24" s="244">
        <f>Tabelle3[[#This Row],[Thorwal (€)]]/M$24</f>
        <v>1</v>
      </c>
      <c r="X24" s="244">
        <f>Tabelle3[[#This Row],[Thorwal (Backer)]]/N$24</f>
        <v>1</v>
      </c>
      <c r="Y24" s="249">
        <f>Tabelle3[[#This Row],[Werkzeuge (€)]]/O$24</f>
        <v>1</v>
      </c>
      <c r="Z24" s="249">
        <f>Tabelle3[[#This Row],[Werkzeuge (Backer)]]/P$24</f>
        <v>1</v>
      </c>
      <c r="AA24" s="249">
        <f>Tabelle3[[#This Row],[Mythos (€)]]/Q$24</f>
        <v>1</v>
      </c>
      <c r="AB24" s="249">
        <f>Tabelle3[[#This Row],[Mythos (Backer)]]/R$24</f>
        <v>1</v>
      </c>
    </row>
    <row r="25" spans="2:37" x14ac:dyDescent="0.25">
      <c r="G25" s="247"/>
      <c r="H25" s="247"/>
      <c r="I25" s="247"/>
      <c r="J25" s="247"/>
      <c r="K25" s="247"/>
      <c r="L25" s="247"/>
    </row>
    <row r="26" spans="2:37" x14ac:dyDescent="0.25">
      <c r="Q26" s="258">
        <f>131351/783</f>
        <v>167.75351213282246</v>
      </c>
      <c r="R26" s="275" t="s">
        <v>216</v>
      </c>
      <c r="S26" s="276">
        <f>AM8*S4</f>
        <v>142920.40154706818</v>
      </c>
      <c r="T26" s="277">
        <f>AN8*T4</f>
        <v>613.08000000000004</v>
      </c>
    </row>
    <row r="27" spans="2:37" x14ac:dyDescent="0.25">
      <c r="R27" s="275" t="s">
        <v>218</v>
      </c>
      <c r="S27" s="276">
        <f>AM14*S5</f>
        <v>146906.59745163764</v>
      </c>
      <c r="T27" s="277">
        <f>AN14*T5</f>
        <v>678.28888888888889</v>
      </c>
    </row>
    <row r="28" spans="2:37" x14ac:dyDescent="0.25">
      <c r="R28" s="258" t="s">
        <v>220</v>
      </c>
      <c r="S28" s="274">
        <f>AVERAGE(S26:S27)</f>
        <v>144913.49949935291</v>
      </c>
      <c r="T28" s="280">
        <f>AVERAGE(T26:T27)</f>
        <v>645.68444444444447</v>
      </c>
      <c r="U28">
        <f>S28/T28</f>
        <v>224.43393324124204</v>
      </c>
    </row>
    <row r="29" spans="2:37" x14ac:dyDescent="0.25">
      <c r="S29" s="274"/>
      <c r="T29" s="277"/>
    </row>
    <row r="30" spans="2:37" x14ac:dyDescent="0.25">
      <c r="R30" s="275" t="s">
        <v>217</v>
      </c>
      <c r="S30" s="276">
        <f>AM9*S4</f>
        <v>149103.15203076921</v>
      </c>
      <c r="T30" s="277">
        <f>AN9*T4</f>
        <v>823.57541899441344</v>
      </c>
    </row>
    <row r="31" spans="2:37" x14ac:dyDescent="0.25">
      <c r="R31" s="275" t="s">
        <v>219</v>
      </c>
      <c r="S31" s="276">
        <f>AM15*S5</f>
        <v>166055.72171739131</v>
      </c>
      <c r="T31" s="277">
        <f>AN15*T5</f>
        <v>855.08737864077671</v>
      </c>
    </row>
    <row r="32" spans="2:37" x14ac:dyDescent="0.25">
      <c r="R32" s="258" t="s">
        <v>220</v>
      </c>
      <c r="S32" s="274">
        <f>AVERAGE(S30:S31)</f>
        <v>157579.43687408027</v>
      </c>
      <c r="T32" s="280">
        <f>AVERAGE(T30:T31)</f>
        <v>839.33139881759507</v>
      </c>
      <c r="U32">
        <f>S32/T32</f>
        <v>187.74400325791422</v>
      </c>
    </row>
  </sheetData>
  <phoneticPr fontId="6" type="noConversion"/>
  <conditionalFormatting sqref="AD9:AK9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3:AB24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15:AK1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DSK - Fasar</vt:lpstr>
      <vt:lpstr>Vergleich</vt:lpstr>
      <vt:lpstr>'DSK - Fasar'!Druckbereich</vt:lpstr>
      <vt:lpstr>'DSK - Fasar'!Drucktitel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Gernot</dc:creator>
  <cp:lastModifiedBy>Gernot</cp:lastModifiedBy>
  <cp:lastPrinted>2021-02-10T21:16:56Z</cp:lastPrinted>
  <dcterms:created xsi:type="dcterms:W3CDTF">2021-01-19T21:15:58Z</dcterms:created>
  <dcterms:modified xsi:type="dcterms:W3CDTF">2021-02-10T21:17:38Z</dcterms:modified>
</cp:coreProperties>
</file>